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drawings/drawing1.xml" ContentType="application/vnd.openxmlformats-officedocument.drawing+xml"/>
  <Override PartName="/xl/worksheets/sheet57.xml" ContentType="application/vnd.openxmlformats-officedocument.spreadsheetml.worksheet+xml"/>
  <Override PartName="/xl/drawings/drawing2.xml" ContentType="application/vnd.openxmlformats-officedocument.drawing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drawings/drawing3.xml" ContentType="application/vnd.openxmlformats-officedocument.drawing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0920" windowHeight="8445" tabRatio="846" firstSheet="37" activeTab="35"/>
  </bookViews>
  <sheets>
    <sheet name="Resum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</sheets>
  <definedNames>
    <definedName name="_xlnm.Print_Area" localSheetId="10">'10'!$A$1:$O$30</definedName>
    <definedName name="_xlnm.Print_Area" localSheetId="12">'12'!$A$1:$H$28</definedName>
    <definedName name="_xlnm.Print_Area" localSheetId="14">'14'!$A$1:$I$28</definedName>
    <definedName name="_xlnm.Print_Area" localSheetId="21">'21'!$A$1:$T$30</definedName>
    <definedName name="_xlnm.Print_Area" localSheetId="25">'25'!$A$1:$G$27</definedName>
    <definedName name="_xlnm.Print_Area" localSheetId="26">'26'!$A$1:$M$28</definedName>
    <definedName name="_xlnm.Print_Area" localSheetId="30">'30'!$A$1:$F$27</definedName>
    <definedName name="_xlnm.Print_Area" localSheetId="33">'33'!$A$1:$E$27</definedName>
    <definedName name="_xlnm.Print_Area" localSheetId="34">'34'!$A$1:$L$29</definedName>
    <definedName name="_xlnm.Print_Area" localSheetId="42">'42'!$A$1:$G$56</definedName>
    <definedName name="_xlnm.Print_Area" localSheetId="43">'43'!$A$1:$G$20</definedName>
    <definedName name="_xlnm.Print_Area" localSheetId="52">'52'!$A$1:$G$28</definedName>
    <definedName name="_xlnm.Print_Area" localSheetId="53">'53'!$A$1:$S$89</definedName>
    <definedName name="_xlnm.Print_Area" localSheetId="54">'54'!$A$1:$K$55</definedName>
    <definedName name="_xlnm.Print_Area" localSheetId="57">'57'!$A$1:$J$89</definedName>
    <definedName name="_xlnm.Print_Area" localSheetId="61">'61'!$A$1:$I$33</definedName>
    <definedName name="_xlnm.Print_Area" localSheetId="9">'9'!$A$1:$L$30</definedName>
    <definedName name="_xlnm.Print_Area" localSheetId="0">'Resume'!$A$1:$E$148</definedName>
    <definedName name="_xlnm.Print_Titles" localSheetId="35">'35'!$9:$9</definedName>
    <definedName name="_xlnm.Print_Titles" localSheetId="0">'Resume'!$5:$5</definedName>
    <definedName name="Z_17D7C177_D9B1_4DC1_9138_49FE7AC6BB29_.wvu.PrintArea" localSheetId="42" hidden="1">'42'!$A$1:$E$55</definedName>
    <definedName name="Z_292D246C_5048_11D6_9411_0000212D0BAF_.wvu.PrintArea" localSheetId="53" hidden="1">'53'!$A$1:$S$88</definedName>
    <definedName name="Z_292D246C_5048_11D6_9411_0000212D0BAF_.wvu.PrintArea" localSheetId="57" hidden="1">'57'!$A$1:$J$82</definedName>
    <definedName name="Z_730E2C64_B2C1_434F_B758_04E2943FA20D_.wvu.PrintArea" localSheetId="24" hidden="1">'24'!$A$1:$H$27</definedName>
    <definedName name="Z_730E2C64_B2C1_434F_B758_04E2943FA20D_.wvu.PrintArea" localSheetId="25" hidden="1">'25'!$A$1:$G$27</definedName>
    <definedName name="Z_730E2C64_B2C1_434F_B758_04E2943FA20D_.wvu.PrintArea" localSheetId="26" hidden="1">'26'!$A$1:$M$27</definedName>
    <definedName name="Z_730E2C64_B2C1_434F_B758_04E2943FA20D_.wvu.PrintArea" localSheetId="28" hidden="1">'28'!$A$1:$G$27</definedName>
    <definedName name="Z_730E2C64_B2C1_434F_B758_04E2943FA20D_.wvu.PrintArea" localSheetId="30" hidden="1">'30'!$A$1:$F$27</definedName>
    <definedName name="Z_730E2C64_B2C1_434F_B758_04E2943FA20D_.wvu.PrintArea" localSheetId="34" hidden="1">'34'!$A$1:$L$31</definedName>
    <definedName name="Z_730E2C64_B2C1_434F_B758_04E2943FA20D_.wvu.PrintArea" localSheetId="35" hidden="1">'35'!$A$1:$D$65</definedName>
    <definedName name="Z_730E2C64_B2C1_434F_B758_04E2943FA20D_.wvu.PrintArea" localSheetId="52" hidden="1">'52'!$A$1:$G$28</definedName>
    <definedName name="Z_730E2C64_B2C1_434F_B758_04E2943FA20D_.wvu.PrintArea" localSheetId="53" hidden="1">'53'!$A$1:$S$88</definedName>
    <definedName name="Z_730E2C64_B2C1_434F_B758_04E2943FA20D_.wvu.PrintArea" localSheetId="54" hidden="1">'54'!$A$1:$K$55</definedName>
    <definedName name="Z_730E2C64_B2C1_434F_B758_04E2943FA20D_.wvu.PrintArea" localSheetId="57" hidden="1">'57'!$A$1:$J$82</definedName>
    <definedName name="Z_93528372_5BA8_11D6_9411_0000212D0BAF_.wvu.PrintArea" localSheetId="24" hidden="1">'24'!$A$1:$H$27</definedName>
    <definedName name="Z_93528372_5BA8_11D6_9411_0000212D0BAF_.wvu.PrintArea" localSheetId="25" hidden="1">'25'!$A$1:$G$27</definedName>
    <definedName name="Z_93528372_5BA8_11D6_9411_0000212D0BAF_.wvu.PrintArea" localSheetId="26" hidden="1">'26'!$A$1:$M$27</definedName>
    <definedName name="Z_93528372_5BA8_11D6_9411_0000212D0BAF_.wvu.PrintArea" localSheetId="28" hidden="1">'28'!$A$1:$G$27</definedName>
    <definedName name="Z_93528372_5BA8_11D6_9411_0000212D0BAF_.wvu.PrintArea" localSheetId="30" hidden="1">'30'!$A$1:$F$27</definedName>
    <definedName name="Z_93528372_5BA8_11D6_9411_0000212D0BAF_.wvu.PrintArea" localSheetId="34" hidden="1">'34'!$A$1:$L$31</definedName>
    <definedName name="Z_93528372_5BA8_11D6_9411_0000212D0BAF_.wvu.PrintArea" localSheetId="35" hidden="1">'35'!$A$1:$D$65</definedName>
    <definedName name="Z_93528372_5BA8_11D6_9411_0000212D0BAF_.wvu.PrintArea" localSheetId="52" hidden="1">'52'!$A$1:$G$28</definedName>
    <definedName name="Z_93528372_5BA8_11D6_9411_0000212D0BAF_.wvu.PrintArea" localSheetId="53" hidden="1">'53'!$A$1:$S$88</definedName>
    <definedName name="Z_93528372_5BA8_11D6_9411_0000212D0BAF_.wvu.PrintArea" localSheetId="54" hidden="1">'54'!$A$1:$K$55</definedName>
    <definedName name="Z_93528372_5BA8_11D6_9411_0000212D0BAF_.wvu.PrintArea" localSheetId="57" hidden="1">'57'!$A$1:$J$82</definedName>
    <definedName name="Z_C0A97EA4_B0C1_44F6_A342_FBE8830FC06D_.wvu.PrintArea" localSheetId="21" hidden="1">'21'!$A$1:$R$29</definedName>
    <definedName name="Z_CF5BBE18_1EAB_4E8A_9B60_6E7F400FBD81_.wvu.PrintArea" localSheetId="43" hidden="1">'43'!$A$1:$E$18</definedName>
    <definedName name="Z_CF5BBE18_1EAB_4E8A_9B60_6E7F400FBD81_.wvu.PrintArea" localSheetId="61" hidden="1">'61'!$A$1:$G$29</definedName>
    <definedName name="Z_F09F5F8D_625F_11D6_9411_0000212D0BAF_.wvu.PrintArea" localSheetId="21" hidden="1">'21'!$A$1:$R$29</definedName>
    <definedName name="Z_F144E4C0_F124_4A6E_9761_D1C5FCF07098_.wvu.Cols" localSheetId="33" hidden="1">'33'!#REF!</definedName>
    <definedName name="Z_F144E4C0_F124_4A6E_9761_D1C5FCF07098_.wvu.Cols" localSheetId="40" hidden="1">'40'!#REF!</definedName>
    <definedName name="Z_F144E4C0_F124_4A6E_9761_D1C5FCF07098_.wvu.PrintArea" localSheetId="12" hidden="1">'12'!$A$1:$H$28</definedName>
    <definedName name="Z_F144E4C0_F124_4A6E_9761_D1C5FCF07098_.wvu.PrintArea" localSheetId="14" hidden="1">'14'!$A$1:$I$28</definedName>
    <definedName name="Z_F144E4C0_F124_4A6E_9761_D1C5FCF07098_.wvu.PrintArea" localSheetId="33" hidden="1">'33'!$A$1:$E$27</definedName>
    <definedName name="Z_F144E4C0_F124_4A6E_9761_D1C5FCF07098_.wvu.PrintArea" localSheetId="40" hidden="1">'40'!$A$1:$C$27</definedName>
    <definedName name="Z_F30EFE65_F2A9_47E2_8E68_51F9D7645DD4_.wvu.PrintArea" localSheetId="34" hidden="1">'34'!$A$1:$L$31</definedName>
    <definedName name="Z_F30EFE65_F2A9_47E2_8E68_51F9D7645DD4_.wvu.PrintArea" localSheetId="52" hidden="1">'52'!$A$1:$G$28</definedName>
  </definedNames>
  <calcPr fullCalcOnLoad="1"/>
</workbook>
</file>

<file path=xl/sharedStrings.xml><?xml version="1.0" encoding="utf-8"?>
<sst xmlns="http://schemas.openxmlformats.org/spreadsheetml/2006/main" count="2208" uniqueCount="975">
  <si>
    <t>Hanua</t>
  </si>
  <si>
    <t xml:space="preserve"> </t>
  </si>
  <si>
    <t>NO</t>
  </si>
  <si>
    <t>KECAMATAN</t>
  </si>
  <si>
    <t>JUMLAH BAYI</t>
  </si>
  <si>
    <t xml:space="preserve">JUMLAH BALITA </t>
  </si>
  <si>
    <t>JUMLAH BALITA MATI</t>
  </si>
  <si>
    <t>PUSKESMAS</t>
  </si>
  <si>
    <t>JUMLAH BAYI MATI</t>
  </si>
  <si>
    <t>JUMLAH KEMATIAN IBU MATERNAL MENURUT KECAMATAN</t>
  </si>
  <si>
    <t xml:space="preserve">KEMATIAN </t>
  </si>
  <si>
    <t>IBU HAMIL</t>
  </si>
  <si>
    <t>IBU BERSALIN</t>
  </si>
  <si>
    <t>IBU NIFAS</t>
  </si>
  <si>
    <t>Keterangan:</t>
  </si>
  <si>
    <t>MALARIA</t>
  </si>
  <si>
    <t>DBD</t>
  </si>
  <si>
    <t>TB PARU</t>
  </si>
  <si>
    <t>KLINIS</t>
  </si>
  <si>
    <t>(+)</t>
  </si>
  <si>
    <t>ANGKA KESAKITAN</t>
  </si>
  <si>
    <t>JUMLAH</t>
  </si>
  <si>
    <t>BBLR</t>
  </si>
  <si>
    <t>DITIMBANG</t>
  </si>
  <si>
    <t>BGM</t>
  </si>
  <si>
    <t>PERSENTASE</t>
  </si>
  <si>
    <t>JUMLAH DESA</t>
  </si>
  <si>
    <t>%</t>
  </si>
  <si>
    <t>PURNAMA</t>
  </si>
  <si>
    <t>MANDIRI</t>
  </si>
  <si>
    <t>SELURUHNYA</t>
  </si>
  <si>
    <t>UTD PMI Cab. Daerah Palangka Raya</t>
  </si>
  <si>
    <t>OPTIK</t>
  </si>
  <si>
    <t>a. Jamkesmas</t>
  </si>
  <si>
    <t>PRATAMA</t>
  </si>
  <si>
    <t>MADYA</t>
  </si>
  <si>
    <t>RUMAH SAKIT</t>
  </si>
  <si>
    <t>JUMLAH PENDUDUK</t>
  </si>
  <si>
    <t>LAINNYA</t>
  </si>
  <si>
    <t>JAMSOSTEK</t>
  </si>
  <si>
    <t>ASKES</t>
  </si>
  <si>
    <t>RUMAH</t>
  </si>
  <si>
    <t>DIPERIKSA</t>
  </si>
  <si>
    <t>SEHAT</t>
  </si>
  <si>
    <t>HOTEL</t>
  </si>
  <si>
    <t>PASAR</t>
  </si>
  <si>
    <t>RESTORAN/R-MAKAN</t>
  </si>
  <si>
    <t>JUMLAH DIPERIKSA</t>
  </si>
  <si>
    <t xml:space="preserve">JUMLAH SEHAT </t>
  </si>
  <si>
    <t>% SEHAT</t>
  </si>
  <si>
    <t>TUPM LAINNYA</t>
  </si>
  <si>
    <t>JUMLAH PUS</t>
  </si>
  <si>
    <t>PESERTA KB BARU</t>
  </si>
  <si>
    <t>UNIT KERJA</t>
  </si>
  <si>
    <t>TENAGA KESEHATAN</t>
  </si>
  <si>
    <t>MEDIS</t>
  </si>
  <si>
    <t>PERAWAT &amp; BIDAN</t>
  </si>
  <si>
    <t>FARMASI</t>
  </si>
  <si>
    <t>GIZI</t>
  </si>
  <si>
    <t>TEKNISI MEDIS</t>
  </si>
  <si>
    <t>SANITASI</t>
  </si>
  <si>
    <t>KESMAS</t>
  </si>
  <si>
    <t>SUB JUMLAH I (PUSKESMAS)</t>
  </si>
  <si>
    <t>SUB JUMLAH II (RUMAH SAKIT)</t>
  </si>
  <si>
    <t>INSTITUSI DIKNAKES/DIKLAT</t>
  </si>
  <si>
    <t>SARANA KESEHATAN LAIN</t>
  </si>
  <si>
    <t>DINAS KESEHATAN KAB/KOTA</t>
  </si>
  <si>
    <t>Medis</t>
  </si>
  <si>
    <t>: Dokter, Dokter Gigi, Dr/Drg Spesialis</t>
  </si>
  <si>
    <t>Teknisi Medis</t>
  </si>
  <si>
    <t>: Analis, TEM dan Penata Rontgen, Penata Anestesi, Fisioterapi</t>
  </si>
  <si>
    <t>Perawat</t>
  </si>
  <si>
    <t>: termasuk lulusan DIII dan S1</t>
  </si>
  <si>
    <t>Sanitasi</t>
  </si>
  <si>
    <t>: Lulusan SPPH, APK dan DIII Kesehatan Lingkungan</t>
  </si>
  <si>
    <t>Farmasi</t>
  </si>
  <si>
    <t>: Apoteker, Asisten Apoteker</t>
  </si>
  <si>
    <t>Kesmas</t>
  </si>
  <si>
    <t>: SKM, MPH, dll</t>
  </si>
  <si>
    <t>Gizi</t>
  </si>
  <si>
    <t>: Lulusan D1 dan DIII Gizi (SPAG dan AKZI)</t>
  </si>
  <si>
    <t>PERSEBARAN TENAGA KESEHATAN MENURUT UNIT KERJA</t>
  </si>
  <si>
    <t>JML</t>
  </si>
  <si>
    <t>: Lulusan SPPH, APK, dan DIII Kesehatan Lingkungan</t>
  </si>
  <si>
    <t>JUMLAH TENAGA MEDIS</t>
  </si>
  <si>
    <t>DR SPESIALIS</t>
  </si>
  <si>
    <t>DOKTER UMUM</t>
  </si>
  <si>
    <t>DOKTER KELUARGA</t>
  </si>
  <si>
    <t>TENAGA KEPERAWATAN</t>
  </si>
  <si>
    <t>SARJANA KEPW</t>
  </si>
  <si>
    <t xml:space="preserve">DIII PERAWAT </t>
  </si>
  <si>
    <t>DIII BIDAN</t>
  </si>
  <si>
    <t>LULUSAN SPK</t>
  </si>
  <si>
    <t>BIDAN</t>
  </si>
  <si>
    <t>RASIO TERHADAP 100.000 PDDK</t>
  </si>
  <si>
    <t>JUMLAH TENAGA MEDIS DI SARANA KESEHATAN</t>
  </si>
  <si>
    <t>TENAGA GIZI</t>
  </si>
  <si>
    <t>APOTEKER</t>
  </si>
  <si>
    <t>D-I GIZI</t>
  </si>
  <si>
    <t>D-III GIZI</t>
  </si>
  <si>
    <t>PERAWAT</t>
  </si>
  <si>
    <t>D-IV/S1 GIZI</t>
  </si>
  <si>
    <t>S1 FARMASI</t>
  </si>
  <si>
    <t>TENAGA KEFARMASIAN</t>
  </si>
  <si>
    <t>TENAGA TEKNISI MEDIS</t>
  </si>
  <si>
    <t>ANALIS LAB.</t>
  </si>
  <si>
    <t>TEM &amp; P.RONTG</t>
  </si>
  <si>
    <t>P.ANESTESI</t>
  </si>
  <si>
    <t>FISIOTERAPIS</t>
  </si>
  <si>
    <t xml:space="preserve">JUMLAH </t>
  </si>
  <si>
    <t>JUMLAH TENAGA TEKNISI MEDIS DI SARANA KESEHATAN</t>
  </si>
  <si>
    <t>JUMLAH TENAGA KEFARMASIAN DAN GIZI DI SARANA KESEHATAN</t>
  </si>
  <si>
    <t>JUMLAH TENAGA KEPERAWATAN DI SARANA KESEHATAN</t>
  </si>
  <si>
    <t xml:space="preserve"> DIII SANITASI</t>
  </si>
  <si>
    <t xml:space="preserve"> DI SANITASI</t>
  </si>
  <si>
    <t>JUMLAH TENAGA KESEHATAN MASYARAKAT DAN SANITASI DI SARANA KESEHATAN</t>
  </si>
  <si>
    <t>TENAGA SANITASI</t>
  </si>
  <si>
    <t>TENAGA KESMAS</t>
  </si>
  <si>
    <t>D-III KESMAS</t>
  </si>
  <si>
    <t>D-III FARMASI</t>
  </si>
  <si>
    <t>ASS APOTEKER</t>
  </si>
  <si>
    <t>JENIS KEJADIAN LUAR BIASA</t>
  </si>
  <si>
    <t>JUMLAH PENDUDUK TERANCAM</t>
  </si>
  <si>
    <t>JUMLAH PENDERITA</t>
  </si>
  <si>
    <t>JUMLAH KEMATIAN</t>
  </si>
  <si>
    <t>CFR (%)</t>
  </si>
  <si>
    <t>JUMLAH KEC</t>
  </si>
  <si>
    <t>KETERSEDIAAN</t>
  </si>
  <si>
    <t>SUMBER BIAYA</t>
  </si>
  <si>
    <t>APBD KAB/KOTA</t>
  </si>
  <si>
    <t>SUMBER PEMERINTAH LAIN</t>
  </si>
  <si>
    <t>TOTAL ANGGARAN KESEHATAN</t>
  </si>
  <si>
    <t>ANGGARAN KESEHATAN KABUPATEN/KOTA</t>
  </si>
  <si>
    <t>ALOKASI ANGGARAN KESEHATAN</t>
  </si>
  <si>
    <t>JUMLAH       IBU HAMIL</t>
  </si>
  <si>
    <t>Fe1</t>
  </si>
  <si>
    <t>JUMLAH BAYI YANG DIBERI ASI EKSKLUSIF</t>
  </si>
  <si>
    <t>PELAYANAN KESEHATAN GIGI DAN MULUT DI PUSKESMAS</t>
  </si>
  <si>
    <t>TUMPATAN GIGI TETAP</t>
  </si>
  <si>
    <t>PENCABUTAN GIGI TETAP</t>
  </si>
  <si>
    <t>RASIO TAMBAL/ CABUT</t>
  </si>
  <si>
    <t>JUMLAH MURID SD</t>
  </si>
  <si>
    <t>PERLU PERAWATAN</t>
  </si>
  <si>
    <t>JUMLAH MENDAPAT PERAWATAN</t>
  </si>
  <si>
    <t>% MENDAPAT PERAWATAN</t>
  </si>
  <si>
    <t xml:space="preserve">% </t>
  </si>
  <si>
    <t>MKJP</t>
  </si>
  <si>
    <t>NON MKJP</t>
  </si>
  <si>
    <t>MKJP + NON MKJP</t>
  </si>
  <si>
    <t>IUD</t>
  </si>
  <si>
    <t>MOP/ MOW</t>
  </si>
  <si>
    <t>IMP LANT</t>
  </si>
  <si>
    <t>SUN TIK</t>
  </si>
  <si>
    <t>PIL</t>
  </si>
  <si>
    <t>KONDOM</t>
  </si>
  <si>
    <t>OBAT VAGINA</t>
  </si>
  <si>
    <t>JUMLAH PENDUDUK MENURUT JENIS KELAMIN, KELOMPOK UMUR,</t>
  </si>
  <si>
    <t>RASIO BEBAN TANG GUNGAN</t>
  </si>
  <si>
    <t>RASIO JENIS KELAMIN</t>
  </si>
  <si>
    <t>LAKI-LAKI (TAHUN)</t>
  </si>
  <si>
    <t xml:space="preserve"> PEREMPUAN (TAHUN)</t>
  </si>
  <si>
    <t>&lt;1</t>
  </si>
  <si>
    <t>1-4</t>
  </si>
  <si>
    <t>5-14</t>
  </si>
  <si>
    <t>15-44</t>
  </si>
  <si>
    <t>45-64</t>
  </si>
  <si>
    <t>&gt;=65</t>
  </si>
  <si>
    <t>LUAS</t>
  </si>
  <si>
    <t>RATA-RATA</t>
  </si>
  <si>
    <t>KEPADATAN</t>
  </si>
  <si>
    <t>WILAYAH</t>
  </si>
  <si>
    <t>PENDUDUK</t>
  </si>
  <si>
    <t>JIWA/RUMAH</t>
  </si>
  <si>
    <t xml:space="preserve">LAKI-LAKI </t>
  </si>
  <si>
    <t xml:space="preserve"> PEREMPUAN </t>
  </si>
  <si>
    <t>TIDAK/ BELUM PERNAH SEKOLAH</t>
  </si>
  <si>
    <t>TIDAK/ BELUM TAMAT SD</t>
  </si>
  <si>
    <t>SD/MI</t>
  </si>
  <si>
    <t>SLTP/ MTs</t>
  </si>
  <si>
    <t>SLTA/ MA</t>
  </si>
  <si>
    <t>AK/ DIPLO MA</t>
  </si>
  <si>
    <t>UNIVERSITAS</t>
  </si>
  <si>
    <t>JUMLAH PENDUDUK MENURUT JENIS KELAMIN DAN KELOMPOK UMUR</t>
  </si>
  <si>
    <t>KELOMPOK UMUR (TAHUN)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</si>
  <si>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</si>
  <si>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</si>
  <si>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</si>
  <si>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</si>
  <si>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</si>
  <si>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</si>
  <si>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</si>
  <si>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</si>
  <si>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</si>
  <si>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55 - 59</t>
  </si>
  <si>
    <t>60 - 64</t>
  </si>
  <si>
    <t>65 - 69</t>
  </si>
  <si>
    <t>70 - 74</t>
  </si>
  <si>
    <t>75+</t>
  </si>
  <si>
    <t>SEMBUH</t>
  </si>
  <si>
    <t>BB NAIK</t>
  </si>
  <si>
    <t>SARANA KESEHATAN</t>
  </si>
  <si>
    <t>LABKES</t>
  </si>
  <si>
    <t>Keracunan Makanan</t>
  </si>
  <si>
    <t>JUMLAH YANG MEMILIKI</t>
  </si>
  <si>
    <t>% YANG MEMILIKI</t>
  </si>
  <si>
    <t xml:space="preserve">KECAMATAN </t>
  </si>
  <si>
    <t>PERSENTASE PELAYANAN KESEHATAN KERJA PADA PEKERJA FORMAL</t>
  </si>
  <si>
    <t>PELAYANAN KESEHATAN KERJA</t>
  </si>
  <si>
    <t>JUMLAH PEKERJA FORMAL</t>
  </si>
  <si>
    <t>JUMLAH YANG DILAYANI</t>
  </si>
  <si>
    <t>RUMAH TANGGA</t>
  </si>
  <si>
    <t>JUMLAH KEJADIAN KECELAKAAN LALU LINTAS</t>
  </si>
  <si>
    <t>JUMLAH KORBAN</t>
  </si>
  <si>
    <t>MATI</t>
  </si>
  <si>
    <t>LUKA BERAT</t>
  </si>
  <si>
    <t>LUKA RINGAN</t>
  </si>
  <si>
    <t>% KORBAN</t>
  </si>
  <si>
    <t>JUMLAH BALITA</t>
  </si>
  <si>
    <t>BER PHBS *</t>
  </si>
  <si>
    <t>LEDENG</t>
  </si>
  <si>
    <t>SPT</t>
  </si>
  <si>
    <t>SGL</t>
  </si>
  <si>
    <t>PAH</t>
  </si>
  <si>
    <t>KEMASAN</t>
  </si>
  <si>
    <t>% AKSES AIR BERSIH</t>
  </si>
  <si>
    <t>AKSES AIR BERSIH</t>
  </si>
  <si>
    <t>PERSENTASE KELUARGA MEMILIKI AKSES AIR BERSIH</t>
  </si>
  <si>
    <t xml:space="preserve"> BALITA YANG ADA</t>
  </si>
  <si>
    <t>% BALITA</t>
  </si>
  <si>
    <t>KEC BEBAS RAWAN GIZI</t>
  </si>
  <si>
    <t>JUMLAH TUPM</t>
  </si>
  <si>
    <t>RAWAT JALAN</t>
  </si>
  <si>
    <t>RAWAT INAP</t>
  </si>
  <si>
    <t>RUMAH SAKIT UMUM</t>
  </si>
  <si>
    <t>RUMAH SAKIT JIWA</t>
  </si>
  <si>
    <t>RUMAH SAKIT KHUSUS</t>
  </si>
  <si>
    <t>4 (EMPAT) SPESIALIS DASAR</t>
  </si>
  <si>
    <t>KEBUTUHAN</t>
  </si>
  <si>
    <t>PELAYANAN DASAR GIGI</t>
  </si>
  <si>
    <t>RASIO PER 100.000 PENDUDUK</t>
  </si>
  <si>
    <t xml:space="preserve">JUMLAH TENAGA KESEHATAN DI SARANA PELAYANAN KESEHATAN </t>
  </si>
  <si>
    <t>INSTITUSI DIKLAT/DIKNAKES</t>
  </si>
  <si>
    <t>JUMLAH PESERTA KB AKTIF MENURUT JENIS KONTRASEPSI</t>
  </si>
  <si>
    <t>Sumber: Profil Kesehatan Kab/Kota Tahun 2009</t>
  </si>
  <si>
    <t>Sumber: a. Profil Kesehatan Kab/Kota Tahun 2009</t>
  </si>
  <si>
    <t xml:space="preserve">                 b. RSUD dr. Doris Sylvanus, RS Polri Bahayangkara, RS TNI Denkensyah </t>
  </si>
  <si>
    <t>Antalgin 500 mg tablet</t>
  </si>
  <si>
    <t>Gliseril Guayakolat 100 mg tablet</t>
  </si>
  <si>
    <t>Ibuprofen 200 mg tablet</t>
  </si>
  <si>
    <t>Kloramfenikol 250 mg kapsul</t>
  </si>
  <si>
    <t>Klorfeniramin Maleat 4 mg tablet</t>
  </si>
  <si>
    <t>Tetrasiklin 250 mg kapsul</t>
  </si>
  <si>
    <t>JUMLAH PESERTA KB AKTIF</t>
  </si>
  <si>
    <t>% PESERTA KB AKTIF</t>
  </si>
  <si>
    <t>LAKI-LAKI</t>
  </si>
  <si>
    <t>PEREMPUAN</t>
  </si>
  <si>
    <t>50 - 54</t>
  </si>
  <si>
    <t>JUMLAH KEMATIAN IBU MATERNAL</t>
  </si>
  <si>
    <t>% BBLR</t>
  </si>
  <si>
    <t>JUMLAH YG ADA</t>
  </si>
  <si>
    <t>JUMLAH DIPANTAU</t>
  </si>
  <si>
    <t>JUMLAH DESA/KEL</t>
  </si>
  <si>
    <t xml:space="preserve">DESA/KEL UCI </t>
  </si>
  <si>
    <t>% DESA/KEL UCI</t>
  </si>
  <si>
    <t>DESA/KEL TERKENA KLB</t>
  </si>
  <si>
    <t>JUMLAH DAN PERSENTASE DESA/KELURAHAN TERKENA KLB YANG DITANGANI &lt; 24 JAM</t>
  </si>
  <si>
    <t>DITANGANI &lt;24 JAM</t>
  </si>
  <si>
    <t>: Lulusan DI, DIII Gizi (SPAG dan AKZI) dan DIV</t>
  </si>
  <si>
    <t>Rupiah</t>
  </si>
  <si>
    <t>ANGGARAN KESEHATAN BERSUMBER:</t>
  </si>
  <si>
    <t>PINJAMAN/HIBAH LUAR NEGERI (PHLN)</t>
  </si>
  <si>
    <t>%  KELUARGA DIPERIKSA</t>
  </si>
  <si>
    <t>JUMLAH  KELUARGA DIPERIKSA</t>
  </si>
  <si>
    <t>PESERTA KB AKTIF</t>
  </si>
  <si>
    <t>% PESERTA KB BARU</t>
  </si>
  <si>
    <t>JUMLAH PESERTA KB BARU</t>
  </si>
  <si>
    <t>LAIN NYA</t>
  </si>
  <si>
    <t>DAN RASIO KORBAN LUKA DAN MENINGGAL TERHADAP JUMLAH PENDUDUK</t>
  </si>
  <si>
    <t>Jumlah kasus adalah seluruh kasus yang ada di wilayah kerja puskesmas tersebut termasuk pasien RS</t>
  </si>
  <si>
    <t>I</t>
  </si>
  <si>
    <t>TABEL 1</t>
  </si>
  <si>
    <t>TABEL 2</t>
  </si>
  <si>
    <t>TABEL 3</t>
  </si>
  <si>
    <t>TABEL 4</t>
  </si>
  <si>
    <t>TABEL 5</t>
  </si>
  <si>
    <t>TABEL 6</t>
  </si>
  <si>
    <t>TABEL 7</t>
  </si>
  <si>
    <t>TABEL 13</t>
  </si>
  <si>
    <t>TABEL 16</t>
  </si>
  <si>
    <t>TABEL 17</t>
  </si>
  <si>
    <t>TABEL 18</t>
  </si>
  <si>
    <t>TABEL 20</t>
  </si>
  <si>
    <t>TABEL 25</t>
  </si>
  <si>
    <t>TABEL 26</t>
  </si>
  <si>
    <t>TABEL 39</t>
  </si>
  <si>
    <t>LAKI-LAKI+PEREMPUAN</t>
  </si>
  <si>
    <t>Perawat &amp; bidan</t>
  </si>
  <si>
    <t>AFP RATE,  % TB PARU SEMBUH, DAN PNEUMONIA BALITA DITANGANI</t>
  </si>
  <si>
    <t>PNEUMONIA</t>
  </si>
  <si>
    <t>DIOBATI</t>
  </si>
  <si>
    <t>% SEMBUH</t>
  </si>
  <si>
    <t>JML PENDERITA</t>
  </si>
  <si>
    <t>JML PEND BALITA</t>
  </si>
  <si>
    <t>BALITA DITANGANI</t>
  </si>
  <si>
    <t>% BALITA DITANGANI</t>
  </si>
  <si>
    <t>HIV/AIDS</t>
  </si>
  <si>
    <t>IMS</t>
  </si>
  <si>
    <t>DIARE</t>
  </si>
  <si>
    <t>JML KASUS</t>
  </si>
  <si>
    <t>% DITANGANI</t>
  </si>
  <si>
    <t>% DIOBATI</t>
  </si>
  <si>
    <t>PERSENTASE PENDERITA MALARIA DIOBATI</t>
  </si>
  <si>
    <t>POSITIF</t>
  </si>
  <si>
    <t>% POSTIF</t>
  </si>
  <si>
    <t>PERSENTASE PENDERITA KUSTA SELESAI BEROBAT</t>
  </si>
  <si>
    <t>KUSTA</t>
  </si>
  <si>
    <t>DITANGANI</t>
  </si>
  <si>
    <t>JUMLAH KASUS DAN ANGKA KESAKITAN PENYAKIT MENULAR YANG DAPAT DICEGAH DENGAN IMUNISASI (PD3I)</t>
  </si>
  <si>
    <t>JUMLAH KASUS  PD3I</t>
  </si>
  <si>
    <t>DIFTERI</t>
  </si>
  <si>
    <t>PERTUSIS</t>
  </si>
  <si>
    <t>TETANUS</t>
  </si>
  <si>
    <t>CAMPAK</t>
  </si>
  <si>
    <t>POLIO</t>
  </si>
  <si>
    <t>HEPATITIS B</t>
  </si>
  <si>
    <t xml:space="preserve"> STATUS GIZI  BALITA DAN JUMLAH KECAMATAN RAWAN GIZI </t>
  </si>
  <si>
    <t>BAYI</t>
  </si>
  <si>
    <t>BAYI LAHIR</t>
  </si>
  <si>
    <t>JML BAYI</t>
  </si>
  <si>
    <t>KUNJ</t>
  </si>
  <si>
    <t>BBLR DITANGANI</t>
  </si>
  <si>
    <t>% BBLR DITANGANI</t>
  </si>
  <si>
    <t>PERSENTASE INSTITUSI DIBINA KESEHATAN LINGKUNGANNYA</t>
  </si>
  <si>
    <t>SARANA PENDIDIKAN</t>
  </si>
  <si>
    <t>SARANA IBADAH</t>
  </si>
  <si>
    <t>PERKANTORAN</t>
  </si>
  <si>
    <t>SARANA LAIN</t>
  </si>
  <si>
    <t>DIBINA</t>
  </si>
  <si>
    <t>JUMLAH RUMAH/BANGUNAN YANG ADA</t>
  </si>
  <si>
    <t>RUMAH/BANGUNAN DIPERIKSA</t>
  </si>
  <si>
    <t>RUMAH/BANGUNAN BEBAS JENTIK</t>
  </si>
  <si>
    <t xml:space="preserve">                                                                                                                   TAHUN ……….</t>
  </si>
  <si>
    <t>JUMLAH KUNJUNGAN</t>
  </si>
  <si>
    <t>KUNJUNGAN GANGGUAN JIWA</t>
  </si>
  <si>
    <t>SARANA PELAYANAN KESEHATAN</t>
  </si>
  <si>
    <t>SUB JUMLAH I</t>
  </si>
  <si>
    <t>SUB JUMLAH II</t>
  </si>
  <si>
    <t>Sarana Yankes lainnya</t>
  </si>
  <si>
    <t>JUMLAH PELAYANAN</t>
  </si>
  <si>
    <t>CAKUPAN KUNJUNGAN (%)</t>
  </si>
  <si>
    <t>K4</t>
  </si>
  <si>
    <t>TABEL 27</t>
  </si>
  <si>
    <t>SISWA SD/MI</t>
  </si>
  <si>
    <t>DILAYANI KES</t>
  </si>
  <si>
    <t>TABEL 28</t>
  </si>
  <si>
    <t>TABEL 30</t>
  </si>
  <si>
    <t>TABEL 32</t>
  </si>
  <si>
    <t>IMUNISASI</t>
  </si>
  <si>
    <t>DO</t>
  </si>
  <si>
    <t>BCG</t>
  </si>
  <si>
    <t>POLIO3</t>
  </si>
  <si>
    <t>(%)</t>
  </si>
  <si>
    <t>% BAYI DIIMUNISASI LENGKAP</t>
  </si>
  <si>
    <t>BALITA GIZI BURUK</t>
  </si>
  <si>
    <t>MENDAPAT VIT A 2X</t>
  </si>
  <si>
    <t>MP ASI</t>
  </si>
  <si>
    <t>MENDAPAT PERAWATAN</t>
  </si>
  <si>
    <t>JUMLAH SARANA</t>
  </si>
  <si>
    <t>JUMLAH       NEONATAL</t>
  </si>
  <si>
    <t>TABEL 38</t>
  </si>
  <si>
    <t>TABEL 40</t>
  </si>
  <si>
    <t>JUMLAH DESA/KEL DG GARAM BERYODIUM YG BAIK</t>
  </si>
  <si>
    <t>% DESA/KEL DG GARAM BERYODIUM YG BAIK</t>
  </si>
  <si>
    <t>TABEL 43</t>
  </si>
  <si>
    <t>CAKUPAN JAMINAN PEMELIHARAAN KESEHATAN PRA BAYAR</t>
  </si>
  <si>
    <t>JUMLAH PESERTA JAMINAN KESEHATAN PRA BAYAR</t>
  </si>
  <si>
    <t>CAKUPAN PELAYANAN KESEHATAN PRA USILA DAN USILA</t>
  </si>
  <si>
    <t>PRA USILA (45-59 TH)</t>
  </si>
  <si>
    <t>USILA (60TH+)</t>
  </si>
  <si>
    <t>PRA USILA DAN USILA</t>
  </si>
  <si>
    <t>CAKUPAN WANITA USIA SUBUR MENDAPAT KAPSUL YODIUM</t>
  </si>
  <si>
    <t>JUMLAH DESA/KEL ENDEMIS</t>
  </si>
  <si>
    <t>JUMLAH WUS</t>
  </si>
  <si>
    <t>JUMLAH YANG DIBERI KAPSUL YODIUM</t>
  </si>
  <si>
    <t>% YANG DIBERI KAPSUL YODIUM</t>
  </si>
  <si>
    <t>UNIT TRANSFUSI DARAH</t>
  </si>
  <si>
    <t>DONOR DARAH</t>
  </si>
  <si>
    <t>JUMLAH PENDONOR</t>
  </si>
  <si>
    <t>JML POSTIF HIV/AIDS</t>
  </si>
  <si>
    <t>% POSITIF HIV-AIDS</t>
  </si>
  <si>
    <t>TABEL 50</t>
  </si>
  <si>
    <t>JUMLAH KK</t>
  </si>
  <si>
    <t>JAMBAN</t>
  </si>
  <si>
    <t>Chikungunya</t>
  </si>
  <si>
    <t>TEMPAT SAMPAH</t>
  </si>
  <si>
    <t>PENGELOLAAN AIR LIMBAH</t>
  </si>
  <si>
    <t>JUMLAH KK DIPERIKSA</t>
  </si>
  <si>
    <t>JUMLAH KK MEMILIKI</t>
  </si>
  <si>
    <t>% KK MEMILIKI</t>
  </si>
  <si>
    <t>TABEL 51</t>
  </si>
  <si>
    <t xml:space="preserve">JUMLAH SARANA PELAYANAN KESEHATAN </t>
  </si>
  <si>
    <t>FASILITAS KESEHATAN</t>
  </si>
  <si>
    <t>PEMILIKAN/PENGELOLA</t>
  </si>
  <si>
    <t>PEM.PUSAT</t>
  </si>
  <si>
    <t>PEM.KAB/KOTA</t>
  </si>
  <si>
    <t>TNI/POLRI</t>
  </si>
  <si>
    <t>BUMN</t>
  </si>
  <si>
    <t>SWASTA</t>
  </si>
  <si>
    <t>RUMAH SAKIT BERSALIN</t>
  </si>
  <si>
    <t>RUMAH SAKIT KHUSUS LAINNYA</t>
  </si>
  <si>
    <t>PUSKESMAS PEMBANTU</t>
  </si>
  <si>
    <t>PUSKESMAS KELILING</t>
  </si>
  <si>
    <t>POSYANDU</t>
  </si>
  <si>
    <t>POLINDES</t>
  </si>
  <si>
    <t>RUMAH BERSALIN</t>
  </si>
  <si>
    <t>BALAI PENGOBATAN/KLINIK</t>
  </si>
  <si>
    <t>TOKO OBAT</t>
  </si>
  <si>
    <t>GFK</t>
  </si>
  <si>
    <t>TABEL  58</t>
  </si>
  <si>
    <t>INDIKATOR PELAYANAN RUMAH SAKIT</t>
  </si>
  <si>
    <t>JUMLAH             TEMPAT TIDUR</t>
  </si>
  <si>
    <t>BOR</t>
  </si>
  <si>
    <t>LOS</t>
  </si>
  <si>
    <t>TOI</t>
  </si>
  <si>
    <t>GDR</t>
  </si>
  <si>
    <t>NDR</t>
  </si>
  <si>
    <t>PENYULUHAN KESEHATAN</t>
  </si>
  <si>
    <t>Dinas Kesehatan Kabupaten/Kota</t>
  </si>
  <si>
    <t>Rumah Sakit</t>
  </si>
  <si>
    <t>TABEL 44</t>
  </si>
  <si>
    <t>TABEL 49</t>
  </si>
  <si>
    <t>TABEL  59</t>
  </si>
  <si>
    <t>TABEL 62</t>
  </si>
  <si>
    <t>TABEL 8</t>
  </si>
  <si>
    <t>JUMLAH PENDUDUK USIA 10 KE ATAS</t>
  </si>
  <si>
    <t>MELEK HURUF</t>
  </si>
  <si>
    <t>LAKI-LAKI + PEREMPUAN</t>
  </si>
  <si>
    <t>KELURAHAN</t>
  </si>
  <si>
    <t>ANAK BALITA (PRA SEKOLAH)</t>
  </si>
  <si>
    <t>MURID SD/MI DIPERIKSA</t>
  </si>
  <si>
    <t>MURID SD/MI</t>
  </si>
  <si>
    <t xml:space="preserve">JUMLAH POSYANDU </t>
  </si>
  <si>
    <t xml:space="preserve">PERSENTASE POSYANDU </t>
  </si>
  <si>
    <t>POSYANDU AKTIF</t>
  </si>
  <si>
    <t>CAKUPAN DETEKSI DINI TUMBUH KEMBANG ANAK BALITA, PEMERIKSAAN KESEHATAN SISWA SD/SMP/SMU</t>
  </si>
  <si>
    <t>SISWA SMP/SMU</t>
  </si>
  <si>
    <t>PERSENTASE  AKSES KETERSEDIAAN DARAH UNTUK BUMIL DAN NEONATUS YG DIRUJUK</t>
  </si>
  <si>
    <t>BUMIL RISTI/KOMPLIKASI DITANGANI</t>
  </si>
  <si>
    <t>TABEL 22</t>
  </si>
  <si>
    <t>TABEL  24</t>
  </si>
  <si>
    <t>TABEL 29</t>
  </si>
  <si>
    <t>TABEL 33</t>
  </si>
  <si>
    <t>TABEL 34</t>
  </si>
  <si>
    <t>TABEL  36</t>
  </si>
  <si>
    <t>TABEL 45</t>
  </si>
  <si>
    <t>TABEL 46</t>
  </si>
  <si>
    <t>WUS DI DESA/KEL. ENDEMIS SEDANG &amp; BERAT</t>
  </si>
  <si>
    <t>JUMLAH KEJADIAN KECELAKAAN</t>
  </si>
  <si>
    <t>JUMLAH PENDUDUK*</t>
  </si>
  <si>
    <t xml:space="preserve">DESA </t>
  </si>
  <si>
    <t>DESA+KEL.</t>
  </si>
  <si>
    <t>LUAS WILAYAH,  JUMLAH DESA/KELURAHAN, JUMLAH PENDUDUK, JUMLAH RUMAH TANGGA,</t>
  </si>
  <si>
    <t>&lt; 1</t>
  </si>
  <si>
    <t>1 - 4</t>
  </si>
  <si>
    <t>LAHIR HIDUP</t>
  </si>
  <si>
    <t>LAHIR MATI</t>
  </si>
  <si>
    <t>LAHIR HIDUP+</t>
  </si>
  <si>
    <t>AFP    &lt; 15 TH</t>
  </si>
  <si>
    <t>CAKUPAN KUNJUNGAN NEONATUS, BAYI DAN BAYI BBLR YANG DITANGANI</t>
  </si>
  <si>
    <t xml:space="preserve">NEONATUS </t>
  </si>
  <si>
    <t>Fe3</t>
  </si>
  <si>
    <t>TABEL 9</t>
  </si>
  <si>
    <t>TABEL  10</t>
  </si>
  <si>
    <t>TABEL 11</t>
  </si>
  <si>
    <t>TABEL  12</t>
  </si>
  <si>
    <t>TABEL 14</t>
  </si>
  <si>
    <t>TABEL   15</t>
  </si>
  <si>
    <t>TABEL  19</t>
  </si>
  <si>
    <t>TABEL 21</t>
  </si>
  <si>
    <t>TABEL  23</t>
  </si>
  <si>
    <t>TABEL 31</t>
  </si>
  <si>
    <t>TABEL 47</t>
  </si>
  <si>
    <t>TABEL 48</t>
  </si>
  <si>
    <t>TABEL 63</t>
  </si>
  <si>
    <t>JUMLAH HARI PERAWATAN</t>
  </si>
  <si>
    <t>JUMLAH PASIEN</t>
  </si>
  <si>
    <t>MATI SELURUHNYA</t>
  </si>
  <si>
    <t>MATI &gt;= 48 JAM DIRAWAT</t>
  </si>
  <si>
    <t>UPAYA KESEHATAN BERSUMBERDAYA MASYARAKAT (UKBM)</t>
  </si>
  <si>
    <t>DESA/ KELURAHAN</t>
  </si>
  <si>
    <t>DESA SIAGA</t>
  </si>
  <si>
    <t>: Analis, TEM &amp; Penata Rontgen, Penata Anestesi, dan Fisioterapi</t>
  </si>
  <si>
    <t>Keterangan : Angka Kematian (dilaporkan) tersebut di atas belum bisa menggambarkan AKB/AKABA yang sebenarnya di populasi</t>
  </si>
  <si>
    <t>JUMLAH KELUARGA YANG ADA</t>
  </si>
  <si>
    <t>KASUS PENYAKIT FILARIASIS DITANGANI</t>
  </si>
  <si>
    <t>JUMLAH DAN PERSENTASE IBU HAMIL DAN NEONATAL RISIKO TINGGI/KOMPLIKASI DITANGANI</t>
  </si>
  <si>
    <t>BUMIL RISTI/   KOMPLIKASI</t>
  </si>
  <si>
    <t>JML SAMPEL DARAH DIPERIKSA</t>
  </si>
  <si>
    <t>TABEL 56</t>
  </si>
  <si>
    <t>TABEL 61</t>
  </si>
  <si>
    <t>APBD PROVINSI</t>
  </si>
  <si>
    <t>PERSENTASE PENDUDUK LAKI-LAKI DAN PEREMPUAN BERUSIA 10 TAHUN KE ATAS DIRINCI MENURUT</t>
  </si>
  <si>
    <t>PERSENTASE PENDUDUK BERUMUR 10 TAHUN KE ATAS YANG MELEK HURUF</t>
  </si>
  <si>
    <t>TETANUS NEONATORUM</t>
  </si>
  <si>
    <t>DIDETEKSI</t>
  </si>
  <si>
    <t>PERSENTASE DONOR DARAH DISKRINING TERHADAP HIV-AIDS</t>
  </si>
  <si>
    <t>ANGGARAN KESEHATAN PERKAPITA</t>
  </si>
  <si>
    <t>INDUSTRI OBAT TRADISIONAL</t>
  </si>
  <si>
    <t>INDUSTRI KECIL OBAT TRADISIONAL</t>
  </si>
  <si>
    <t>PEM.PROV</t>
  </si>
  <si>
    <t>JUMLAH YANG ADA</t>
  </si>
  <si>
    <t>MENDAPAT YANKES</t>
  </si>
  <si>
    <t>DPT1+HB1</t>
  </si>
  <si>
    <t>DPT3+HB3</t>
  </si>
  <si>
    <r>
      <t>(</t>
    </r>
    <r>
      <rPr>
        <i/>
        <sz val="12"/>
        <rFont val="Arial"/>
        <family val="2"/>
      </rPr>
      <t>km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</si>
  <si>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/</t>
    </r>
    <r>
      <rPr>
        <i/>
        <sz val="12"/>
        <rFont val="Arial"/>
        <family val="2"/>
      </rPr>
      <t>km</t>
    </r>
    <r>
      <rPr>
        <vertAlign val="superscript"/>
        <sz val="12"/>
        <rFont val="Arial"/>
        <family val="2"/>
      </rPr>
      <t>2</t>
    </r>
  </si>
  <si>
    <r>
      <t xml:space="preserve">ANGKA KEMATIAN </t>
    </r>
    <r>
      <rPr>
        <b/>
        <sz val="12"/>
        <rFont val="Arial"/>
        <family val="2"/>
      </rPr>
      <t>(DILAPORKAN)</t>
    </r>
  </si>
  <si>
    <r>
      <t xml:space="preserve">ANGKA KEMATIAN IBU MATERNAL </t>
    </r>
    <r>
      <rPr>
        <b/>
        <sz val="12"/>
        <rFont val="Arial"/>
        <family val="2"/>
      </rPr>
      <t>(DILAPORKAN)</t>
    </r>
  </si>
  <si>
    <t>SUNTIK</t>
  </si>
  <si>
    <r>
      <t>ATTACK RATE</t>
    </r>
    <r>
      <rPr>
        <sz val="12"/>
        <rFont val="Arial"/>
        <family val="2"/>
      </rPr>
      <t xml:space="preserve"> (%)</t>
    </r>
  </si>
  <si>
    <t xml:space="preserve">DOKTER GIGI </t>
  </si>
  <si>
    <r>
      <t xml:space="preserve">Keterangan: </t>
    </r>
    <r>
      <rPr>
        <vertAlign val="superscript"/>
        <sz val="12"/>
        <rFont val="Arial"/>
        <family val="2"/>
      </rPr>
      <t>[a]</t>
    </r>
    <r>
      <rPr>
        <sz val="12"/>
        <rFont val="Arial"/>
        <family val="2"/>
      </rPr>
      <t xml:space="preserve"> Termasuk S2 dan S3</t>
    </r>
  </si>
  <si>
    <r>
      <t>SARJANA KESMAS</t>
    </r>
    <r>
      <rPr>
        <vertAlign val="superscript"/>
        <sz val="11"/>
        <rFont val="Arial"/>
        <family val="2"/>
      </rPr>
      <t>[a]</t>
    </r>
  </si>
  <si>
    <t>NAMA RUMAH SAKIT[a]</t>
  </si>
  <si>
    <t>Keterangan: [a] termasuk rumah sakit swasta</t>
  </si>
  <si>
    <t>KELUAR  (HIDUP + MATI)</t>
  </si>
  <si>
    <r>
      <t xml:space="preserve">Keterangan: </t>
    </r>
  </si>
  <si>
    <t>Catatan : * = Jumlah penduduk menurut puskesmas harus sama dengan jumlah penduduk menurut kecamatan</t>
  </si>
  <si>
    <t xml:space="preserve">TANGGA </t>
  </si>
  <si>
    <t>Gizi Buruk</t>
  </si>
  <si>
    <t>K1</t>
  </si>
  <si>
    <t>PUSKESMAS PERAWATAN</t>
  </si>
  <si>
    <t>PUSKESMAS NON PERAWATAN</t>
  </si>
  <si>
    <t>JUMLAH LAHIR HIDUP</t>
  </si>
  <si>
    <t>PEND PB</t>
  </si>
  <si>
    <t>PEND MB</t>
  </si>
  <si>
    <t>RFT PB</t>
  </si>
  <si>
    <t>RFT MB</t>
  </si>
  <si>
    <t>% RFT PB</t>
  </si>
  <si>
    <t>% RFT MB</t>
  </si>
  <si>
    <t>Keterangan : Penderita PB tahun X - 1, Penderita MB tahun X - 2</t>
  </si>
  <si>
    <t xml:space="preserve">             X = tahun data.</t>
  </si>
  <si>
    <t>KN2</t>
  </si>
  <si>
    <t>JML LAHIR HIDUP</t>
  </si>
  <si>
    <t>ANAK BALITA (1-4TAHUN)</t>
  </si>
  <si>
    <t>JUMLAH IBU HAMIL YANG MENDAPATKAN  TABLET Fe1, Fe3</t>
  </si>
  <si>
    <t>JUMLAH IBU HAMIL YANG DIRUJUK</t>
  </si>
  <si>
    <t>MENDAPAT DARAH</t>
  </si>
  <si>
    <t>SUMBER DATA DARI = AUDIT MATERNAL PERINATAL ( AMP )</t>
  </si>
  <si>
    <t>JUMLAH DESA/KEL DISURVEI</t>
  </si>
  <si>
    <t>KETERSEDIAAN OBAT SESUAI DENGAN KEBUTUHAN PELAYANAN KESEHATAN DASAR</t>
  </si>
  <si>
    <t>JUMLAH WANITA USIA SUBUR DENGAN STATUS IMUNISASI TT</t>
  </si>
  <si>
    <t>Flu H1N1</t>
  </si>
  <si>
    <t>Influenza</t>
  </si>
  <si>
    <t>WUS</t>
  </si>
  <si>
    <t>TT 1</t>
  </si>
  <si>
    <t>TT 2</t>
  </si>
  <si>
    <t>TT 3</t>
  </si>
  <si>
    <t>TT 4</t>
  </si>
  <si>
    <t>TT 5</t>
  </si>
  <si>
    <t>JUMLAH NEONATUS YANG DIRUJUK</t>
  </si>
  <si>
    <t>PENDERITA PENY.  FILARIASIS</t>
  </si>
  <si>
    <t>JUMLAH KUNJUNGAN RAWAT JALAN , RAWAT INAP, PELAYANAN GANGGUAN JIWA DI SARANA PELAYANAN KESEHATAN</t>
  </si>
  <si>
    <t xml:space="preserve">JUMLAH SARANA PELAYANAN KESEHATAN MENURUT KEMAMPUAN LABKES DAN MEMILIKI 4 SPESIALIS DASAR </t>
  </si>
  <si>
    <t>TABEL 35</t>
  </si>
  <si>
    <t>TABEL  37</t>
  </si>
  <si>
    <t>TABEL 41</t>
  </si>
  <si>
    <t>TABEL  42</t>
  </si>
  <si>
    <t>JUMLAH SEHAT</t>
  </si>
  <si>
    <t>PERSENTASE RUMAH/BANGUNAN YANG DIPERIKSA DAN BEBAS JENTIK NYAMUK AEDES</t>
  </si>
  <si>
    <t>APBN :</t>
  </si>
  <si>
    <t>- Dana Alokasi Khusus (DAK)</t>
  </si>
  <si>
    <t>- ASKESKIN</t>
  </si>
  <si>
    <t>RESUME PROFIL KESEHATAN</t>
  </si>
  <si>
    <t>INDIKATOR</t>
  </si>
  <si>
    <t>ANGKA/NILAI</t>
  </si>
  <si>
    <t>Jumlah Penduduk</t>
  </si>
  <si>
    <t>Jumlah Desa/Kelurahan</t>
  </si>
  <si>
    <t>Jumlah Penduduk Laki-laki</t>
  </si>
  <si>
    <t>Jumlah Penduduk Perempuan</t>
  </si>
  <si>
    <t>Rasio Beban Tanggungan</t>
  </si>
  <si>
    <t>Rasio Jenis Kelamin</t>
  </si>
  <si>
    <t>Angka Kematian Bayi (dilaporkan)</t>
  </si>
  <si>
    <t>Angka Kematian Balita (dilaporkan)</t>
  </si>
  <si>
    <t>Angka Kematian Ibu (dilaporkan)</t>
  </si>
  <si>
    <t>Pneumonia Balita Ditangani</t>
  </si>
  <si>
    <t>HIV/AIDS ditangani</t>
  </si>
  <si>
    <t>Angka Kesakitan DBD</t>
  </si>
  <si>
    <t>Labkesda/GFK Kuala Kapuas</t>
  </si>
  <si>
    <t>Labkesda/GFK Pangkalan Bun</t>
  </si>
  <si>
    <t>Labkesda/GFK Sampit</t>
  </si>
  <si>
    <t>Angka Kesakitan Diare</t>
  </si>
  <si>
    <t>Angka Kesakitan Malaria</t>
  </si>
  <si>
    <t>Persentase Penderita Kusta Selesai Berobat (PB)</t>
  </si>
  <si>
    <t>Persentase Penderita Kusta Selesai Berobat (MB)</t>
  </si>
  <si>
    <t>Kasus Penyakit Filariasis ditangani</t>
  </si>
  <si>
    <t>Luas Wilayah</t>
  </si>
  <si>
    <t>Jiwa</t>
  </si>
  <si>
    <t>Pddk 10 th keatas Melek Huruf</t>
  </si>
  <si>
    <t>Pddk 10 th keatas Melek Huruf (Laki-laki)</t>
  </si>
  <si>
    <t>Pddk 10 th keatas Melek Huruf (Perempuan)</t>
  </si>
  <si>
    <t>Jumlah Lahir Hidup</t>
  </si>
  <si>
    <t>Jumlah Bayi Mati</t>
  </si>
  <si>
    <t>Jumlah Balita Mati</t>
  </si>
  <si>
    <t>Jumlah Kematian Ibu Maternal</t>
  </si>
  <si>
    <t>Bayi</t>
  </si>
  <si>
    <t>Balita</t>
  </si>
  <si>
    <t>Ibu</t>
  </si>
  <si>
    <t>AFP Rate &lt; 15 th</t>
  </si>
  <si>
    <t>Infeksi Menular Seksual ditangani</t>
  </si>
  <si>
    <t>DBD ditangani</t>
  </si>
  <si>
    <t>Diare pada Balita ditangani</t>
  </si>
  <si>
    <t>TB Paru Sembuh</t>
  </si>
  <si>
    <t>Jumlah Kasus Difteri</t>
  </si>
  <si>
    <t>Jumlah Kasus Pertusis</t>
  </si>
  <si>
    <t>Jumlah Kasus Tetanus</t>
  </si>
  <si>
    <t>Jumlah Kasus Tetanus Neonatorum</t>
  </si>
  <si>
    <t>Jumlah Kasus Campak</t>
  </si>
  <si>
    <t>Jumlah Kasus Polio</t>
  </si>
  <si>
    <t>Jumlah Kasus Hepatitis B</t>
  </si>
  <si>
    <t>Kasus</t>
  </si>
  <si>
    <t>Kunjungan Neonatus (KN2)</t>
  </si>
  <si>
    <t>Kunjungan Bayi</t>
  </si>
  <si>
    <t xml:space="preserve">Berat Badan Bayi Lahir Rendah (BBLR) </t>
  </si>
  <si>
    <t>BBLR ditangani</t>
  </si>
  <si>
    <t>Balita Gizi Buruk</t>
  </si>
  <si>
    <t>Balita BB Naik</t>
  </si>
  <si>
    <t xml:space="preserve">Balita ditimbang </t>
  </si>
  <si>
    <t>Kunjungan Ibu Hamil (K1)</t>
  </si>
  <si>
    <t>Kunjungan Ibu Hamil (K4)</t>
  </si>
  <si>
    <t>Persalinan ditolong Tenaga Kesehatan</t>
  </si>
  <si>
    <t>Deteksi Dini Tumbang Anak Balita</t>
  </si>
  <si>
    <t>Pemeriksaan Kesehatan Siswa SD/MI</t>
  </si>
  <si>
    <t>Pemeriksaan Kesehatan Siswa SMP/SMU</t>
  </si>
  <si>
    <t>Peserta KB Baru</t>
  </si>
  <si>
    <t>Peserta KB Aktif</t>
  </si>
  <si>
    <t>Peserta KB Aktif (MKJP + Non MKJP)</t>
  </si>
  <si>
    <t>Peserta KB Baru (MKJP + Non MKJP)</t>
  </si>
  <si>
    <t>Desa/Kelurahan UCI</t>
  </si>
  <si>
    <t>Desa/Kel</t>
  </si>
  <si>
    <t>Cakupan Imunisasi Campak Bayi</t>
  </si>
  <si>
    <t>Drop-Out Imunisasi DPT1-Campak</t>
  </si>
  <si>
    <t>MP-ASI Bayi BGM</t>
  </si>
  <si>
    <t>Anak Balita Mendapat Vit.A 2x</t>
  </si>
  <si>
    <t>Balita Gizi Buruk Mendapat Perawatan</t>
  </si>
  <si>
    <t>Campak</t>
  </si>
  <si>
    <t>Ibu Hamil Mendapat Tablet Fe1</t>
  </si>
  <si>
    <t>Ibu Hamil Mendapat Tablet Fe3</t>
  </si>
  <si>
    <t>WUS dg imunisasi TT5</t>
  </si>
  <si>
    <t>Ketersediaan darah Bumil yg dirujuk</t>
  </si>
  <si>
    <t>Ketersediaan darah Neonatus yg dirujuk</t>
  </si>
  <si>
    <t>Bumil Risti/Komplikasi</t>
  </si>
  <si>
    <t>Bumil Risti/Komplikasi ditangani</t>
  </si>
  <si>
    <t>Neonatal Risti dirujuk</t>
  </si>
  <si>
    <t>Neonatal Risti dirujuk dan ditangani</t>
  </si>
  <si>
    <t>Desa/Kel. Terkena KLB ditangani &lt; 24 jam</t>
  </si>
  <si>
    <t>Bayi yang diberi ASI Eksklusif</t>
  </si>
  <si>
    <t>Desa/Kel. Dg Garam Beryodium yg baik</t>
  </si>
  <si>
    <t>Rasio Tambal/Cabut Gigi Tetap</t>
  </si>
  <si>
    <t>Murid SD/MI Diperiksa (UKGS)</t>
  </si>
  <si>
    <t>Murid SD/MI Mendapat Perawatan (UKGS)</t>
  </si>
  <si>
    <t>Peserta Jaminan Kesehatan Pra Bayar</t>
  </si>
  <si>
    <t>Penduduk Miskin dicakup JPKM</t>
  </si>
  <si>
    <t>Penduduk Miskin Mendapat Yankes</t>
  </si>
  <si>
    <t>Bayi Gakin BGM Mendapat MP-ASI</t>
  </si>
  <si>
    <t>Pelayanan Kesehatan Pra Usila dan Usila</t>
  </si>
  <si>
    <t>WUS yang diberi Kapsul Yodium</t>
  </si>
  <si>
    <t>Sarkes yang memiliki Labkes</t>
  </si>
  <si>
    <t>Rumah Tangga ber-PHBS</t>
  </si>
  <si>
    <t>Posyandu Aktif</t>
  </si>
  <si>
    <t>Rumah yang diperiksa kesehatannya</t>
  </si>
  <si>
    <t>Rumah Sehat</t>
  </si>
  <si>
    <t>Keluarga yang diperiksa air bersihnya</t>
  </si>
  <si>
    <t>Keluarga yang memiliki akses air bersih</t>
  </si>
  <si>
    <t>KK memiliki Jamban</t>
  </si>
  <si>
    <t>KK memiliki Jamban Sehat</t>
  </si>
  <si>
    <t>KK memiliki Tempat Sampah</t>
  </si>
  <si>
    <t>KK memiliki Tempat Sampah Sehat</t>
  </si>
  <si>
    <t>KK memiliki Pengelolaan Air Limbah</t>
  </si>
  <si>
    <t>KK memiliki Pengelolaan Air Limbah Sehat</t>
  </si>
  <si>
    <t>TUPM Sehat</t>
  </si>
  <si>
    <t>Institusi dibina Keslingnya</t>
  </si>
  <si>
    <t>Rmh/Bangn diperiksa Jentik Nyamuk Aedes</t>
  </si>
  <si>
    <t>Rmh/Bangn bebas Jentik Nyamuk Aedes</t>
  </si>
  <si>
    <t>Jumlah Tenaga Medis</t>
  </si>
  <si>
    <t>Jumlah Tenaga Perawat dan Bidan</t>
  </si>
  <si>
    <t>Jumlah Tenaga Farmasi</t>
  </si>
  <si>
    <t>Jumlah Tenaga Gizi</t>
  </si>
  <si>
    <t>Jumlah Tenaga Tehnisi Medis</t>
  </si>
  <si>
    <t>Jumlah Tenaga Sanitasi</t>
  </si>
  <si>
    <t>Jumlah Tenaga Kesmas</t>
  </si>
  <si>
    <t>Labkesda &amp; GFK Pangkalan Bun</t>
  </si>
  <si>
    <t>Jumlah Tenaga Kesehatan</t>
  </si>
  <si>
    <t>Jumlah Tenaga Dokter Spesialis</t>
  </si>
  <si>
    <t>t.a.d</t>
  </si>
  <si>
    <t>Jumlah Tenaga Dokter Gigi</t>
  </si>
  <si>
    <t>Jumlah Tenaga Dokter Umum</t>
  </si>
  <si>
    <t>Total Anggaran Kesehatan</t>
  </si>
  <si>
    <t>APBD Kesehatan thd APBD Kab/Kota</t>
  </si>
  <si>
    <t>Rp.</t>
  </si>
  <si>
    <t>Jumlah Desa Siaga</t>
  </si>
  <si>
    <t>Jumlah Polindes</t>
  </si>
  <si>
    <t>Jumlah Posyandu</t>
  </si>
  <si>
    <t>Orang</t>
  </si>
  <si>
    <t>Anggaran Kesehatan Perkapita</t>
  </si>
  <si>
    <t>Desa</t>
  </si>
  <si>
    <t>Polindes</t>
  </si>
  <si>
    <t>Psyd</t>
  </si>
  <si>
    <t>No. Lampiran</t>
  </si>
  <si>
    <t>% LAHIR MATI</t>
  </si>
  <si>
    <t>- Jumlah kematian ibu maternal = jumlah kematian ibu hamil + jumlah kematian ibu bersalin  + jumlah  kematian ibu nifas</t>
  </si>
  <si>
    <t>- Angka Kematian Ibu Maternal (dilaporkan) tersebut di atas belum bisa menggambarkan AKI yang sebenarnya di populasi</t>
  </si>
  <si>
    <t>RASIO KORBAN PER KEJADIAN KECELAKAAN</t>
  </si>
  <si>
    <t>% THD TOTAL KORBAN</t>
  </si>
  <si>
    <t>Ket:</t>
  </si>
  <si>
    <t>Ket :</t>
  </si>
  <si>
    <t>ANGKA KESAKITAN (API/AMI) PER 1000 PDDK</t>
  </si>
  <si>
    <t>API untuk wilayah Jawa dan Bali (Malaria positif per 1000 penduduk)</t>
  </si>
  <si>
    <t>AMI untuk wilayah luar Jawa dan Bali (Malaria klinis per 1000 penduduk)</t>
  </si>
  <si>
    <t>% DITIMBANG</t>
  </si>
  <si>
    <t>DITOLONG NAKES</t>
  </si>
  <si>
    <t>MEMERLUKAN DARAH</t>
  </si>
  <si>
    <t xml:space="preserve">NEONATAL RISTI/KOMPLIKASI </t>
  </si>
  <si>
    <t>NEONATAL RISTI/KOMPLIKASI  DITANGANI</t>
  </si>
  <si>
    <t>PERSENTASE SARANA KESEHATAN DENGAN KEMAMPUAN PELAYANAN GAWAT DARURAT (GADAR)</t>
  </si>
  <si>
    <t>MEMPUNYAI KEMAMPUAN YAN. GADAR</t>
  </si>
  <si>
    <t>SARANA YANKES.LAINNYA</t>
  </si>
  <si>
    <t xml:space="preserve">JUMLAH PENDERITA DAN KEMATIAN </t>
  </si>
  <si>
    <t>YANG TERSERANG</t>
  </si>
  <si>
    <t>UKGS (PROMOTIF DAN PREVENTIF)</t>
  </si>
  <si>
    <t>JUMLAH SELURUH KEGIATAN PENYULUHAN KELOMPOK</t>
  </si>
  <si>
    <t>JUMLAH KEGIATAN PENYULUHAN MASSA</t>
  </si>
  <si>
    <t>JUMLAH KEGIATAN PENYULUHAN KESEHATAN</t>
  </si>
  <si>
    <t xml:space="preserve"> ASKESKIN</t>
  </si>
  <si>
    <t>PELAYANAN BAYI MASY.MISKIN</t>
  </si>
  <si>
    <t>JUMLAH BAYI MASY.MISKIN BGM</t>
  </si>
  <si>
    <t>MASYARAKAT  MISKIN</t>
  </si>
  <si>
    <t>DICAKUP ASKESKIN</t>
  </si>
  <si>
    <t>BAYI MASY.MISKIN BGM MENDAPAT MP-ASI</t>
  </si>
  <si>
    <t>A.</t>
  </si>
  <si>
    <t>GAMBARAN UMUM</t>
  </si>
  <si>
    <t>B.</t>
  </si>
  <si>
    <t>DERAJAT KESEHATAN</t>
  </si>
  <si>
    <t>B.1</t>
  </si>
  <si>
    <t>Angka Kematian</t>
  </si>
  <si>
    <t>Tabel 1</t>
  </si>
  <si>
    <t>Tabel 2</t>
  </si>
  <si>
    <t>Tabel 5</t>
  </si>
  <si>
    <t>B.2</t>
  </si>
  <si>
    <t>Angka Kesakitan</t>
  </si>
  <si>
    <t>Tabel 6</t>
  </si>
  <si>
    <t>Tabel 7</t>
  </si>
  <si>
    <t>B.3</t>
  </si>
  <si>
    <t>Status Gizi</t>
  </si>
  <si>
    <t>Tabel 9</t>
  </si>
  <si>
    <t>Tabel 10</t>
  </si>
  <si>
    <t>Tabel 11</t>
  </si>
  <si>
    <t>Tabel 12</t>
  </si>
  <si>
    <t>Tabel 13</t>
  </si>
  <si>
    <t>Tabel 14</t>
  </si>
  <si>
    <t>C.</t>
  </si>
  <si>
    <t>UPAYA KESEHATAN</t>
  </si>
  <si>
    <t>C.1</t>
  </si>
  <si>
    <t>Pelayanan Kesehatan</t>
  </si>
  <si>
    <t>Tabel 15</t>
  </si>
  <si>
    <t>Tabel 16</t>
  </si>
  <si>
    <t>C.2</t>
  </si>
  <si>
    <t>Akses dan Mutu Pelayanan Kesehatan</t>
  </si>
  <si>
    <t>Tabel 17</t>
  </si>
  <si>
    <t>Tabel 18</t>
  </si>
  <si>
    <t>Tabel 19</t>
  </si>
  <si>
    <t>Tabel 20</t>
  </si>
  <si>
    <t>Tabel 21</t>
  </si>
  <si>
    <t>Tabel 22</t>
  </si>
  <si>
    <t>Tabel 23</t>
  </si>
  <si>
    <t>Tabel 24</t>
  </si>
  <si>
    <t>Tabel 25</t>
  </si>
  <si>
    <t>Tabel 26</t>
  </si>
  <si>
    <t>C.3</t>
  </si>
  <si>
    <t>Perilaku Hidup Masyarakat</t>
  </si>
  <si>
    <t>D.</t>
  </si>
  <si>
    <t>SUMBERDAYA KESEHATAN</t>
  </si>
  <si>
    <t>D.1</t>
  </si>
  <si>
    <t>Tenaga Kesehatan</t>
  </si>
  <si>
    <t>D.2</t>
  </si>
  <si>
    <t>Pembiayaan Kesehatan</t>
  </si>
  <si>
    <t>D.3</t>
  </si>
  <si>
    <t>Sarana Kesehatan</t>
  </si>
  <si>
    <t xml:space="preserve">CAKUPAN PELAYANAN KESEHATAN MASYARAKAT MISKIN </t>
  </si>
  <si>
    <t xml:space="preserve">HIV/AIDS, INFEKSI MENULAR SEKSUAL, DBD DAN DIARE PADA BALITA DITANGANI </t>
  </si>
  <si>
    <t>JML DIARE PADA BALITA</t>
  </si>
  <si>
    <t>DIARE PADA BALITA DITANGANI</t>
  </si>
  <si>
    <t>Tabel 27</t>
  </si>
  <si>
    <t>Tabel 28</t>
  </si>
  <si>
    <t>Sarkes dg Kemampuan Yan. Gadar</t>
  </si>
  <si>
    <t>Tabel 29</t>
  </si>
  <si>
    <t>Tabel 30</t>
  </si>
  <si>
    <t>Tabel 32</t>
  </si>
  <si>
    <t>Tabel 33</t>
  </si>
  <si>
    <t>Tabel 34</t>
  </si>
  <si>
    <t>Tabel 36</t>
  </si>
  <si>
    <t>Tabel 37</t>
  </si>
  <si>
    <t>Tabel 39</t>
  </si>
  <si>
    <t>Tabel 40</t>
  </si>
  <si>
    <t>Tabel 43</t>
  </si>
  <si>
    <t>TABEL  52</t>
  </si>
  <si>
    <t>TABEL 53</t>
  </si>
  <si>
    <t>TABEL  54</t>
  </si>
  <si>
    <t>TABEL 55</t>
  </si>
  <si>
    <t>TABEL  57</t>
  </si>
  <si>
    <t>TABEL 60</t>
  </si>
  <si>
    <t>C.4</t>
  </si>
  <si>
    <t>Keadaan Lingkungan</t>
  </si>
  <si>
    <t>Tabel 45</t>
  </si>
  <si>
    <t>Tabel 46</t>
  </si>
  <si>
    <t>Tabel 47</t>
  </si>
  <si>
    <t>Tabel 48</t>
  </si>
  <si>
    <t>Tabel 49</t>
  </si>
  <si>
    <t>Tabel 50</t>
  </si>
  <si>
    <t>JENIS OBAT*</t>
  </si>
  <si>
    <t>* Jenis obat : jenis obat yang harus tersedia untuk pelayanan kesehatan dasar</t>
  </si>
  <si>
    <t>Tabel 51</t>
  </si>
  <si>
    <t>Tabel 52</t>
  </si>
  <si>
    <t>Tabel 53</t>
  </si>
  <si>
    <t>Tabel 55</t>
  </si>
  <si>
    <t>Tabel 60</t>
  </si>
  <si>
    <t>Tabel 62</t>
  </si>
  <si>
    <r>
      <t>Km</t>
    </r>
    <r>
      <rPr>
        <vertAlign val="superscript"/>
        <sz val="11"/>
        <rFont val="Arial"/>
        <family val="2"/>
      </rPr>
      <t>2</t>
    </r>
  </si>
  <si>
    <r>
      <t>Kepadatan Penduduk /Km</t>
    </r>
    <r>
      <rPr>
        <vertAlign val="superscript"/>
        <sz val="11"/>
        <rFont val="Arial"/>
        <family val="2"/>
      </rPr>
      <t>2</t>
    </r>
  </si>
  <si>
    <r>
      <t>Jiwa/Km</t>
    </r>
    <r>
      <rPr>
        <vertAlign val="superscript"/>
        <sz val="11"/>
        <rFont val="Arial"/>
        <family val="2"/>
      </rPr>
      <t>2</t>
    </r>
  </si>
  <si>
    <t>PERSENTASE RUMAH TANGGA BERPERILAKU HIDUP BERSIH SEHAT</t>
  </si>
  <si>
    <t>PUSKESMAS  (termasuk PUSTU dan POLINDES/POSKESDES)</t>
  </si>
  <si>
    <t>POSKESDES</t>
  </si>
  <si>
    <t>APOTEK</t>
  </si>
  <si>
    <t>PRAKTIK DOKTER BERSAMA</t>
  </si>
  <si>
    <t>PRAKTIK DOKTER PERORANGAN</t>
  </si>
  <si>
    <t>PRAKTK PENGOBATAN TRADISIONAL</t>
  </si>
  <si>
    <t>JENIS PELAYANAN</t>
  </si>
  <si>
    <t>UMUM/KHUSUS</t>
  </si>
  <si>
    <t>MENDAPAT YAN.NIFAS</t>
  </si>
  <si>
    <t>CAKUPAN KUNJUNGAN IBU HAMIL (K1, K4), PERSALINAN DITOLONG TENAGA KESEHATAN DAN IBU NIFAS</t>
  </si>
  <si>
    <t>Rawat Jalan</t>
  </si>
  <si>
    <t>Rawat Inap</t>
  </si>
  <si>
    <t>ANAK BGM 6-24 BLN</t>
  </si>
  <si>
    <t>KABUPATEN</t>
  </si>
  <si>
    <t>Kotawaringin Barat</t>
  </si>
  <si>
    <t>Lamandau</t>
  </si>
  <si>
    <t>Sukamara</t>
  </si>
  <si>
    <t>Kotawaringin Timur</t>
  </si>
  <si>
    <t>Seruyan</t>
  </si>
  <si>
    <t>Katingan</t>
  </si>
  <si>
    <t>Kapuas</t>
  </si>
  <si>
    <t>Pulang Pisau</t>
  </si>
  <si>
    <t>Gunung Mas</t>
  </si>
  <si>
    <t>Barito Selatan</t>
  </si>
  <si>
    <t>Barito Timur</t>
  </si>
  <si>
    <t>Barito Utara</t>
  </si>
  <si>
    <t>Murung Raya</t>
  </si>
  <si>
    <t>Palangka Raya</t>
  </si>
  <si>
    <t>JUMLAH (PROVINSI)</t>
  </si>
  <si>
    <t>DAN KEPADATAN PENDUDUK MENURUT KABUPATEN</t>
  </si>
  <si>
    <t>RASIO BEBAN TANGGUNGAN, RASIO JENIS KELAMIN, DAN KABUPATEN</t>
  </si>
  <si>
    <t>TINGKAT PENDIDIKAN TERTINGGI YANG DITAMATKAN DAN KABUPATEN</t>
  </si>
  <si>
    <t>JUMLAH KELAHIRAN DAN KEMATIAN BAYI DAN BALITA MENURUT KABUPATEN</t>
  </si>
  <si>
    <t>DIRINCI MENURUT KABUPATEN</t>
  </si>
  <si>
    <t>PELAYANAN KB BARU MENURUT KABUPATEN</t>
  </si>
  <si>
    <t>PERSENTASE CAKUPAN DESA/KELURAHAN UCI MENURUT KABUPATEN</t>
  </si>
  <si>
    <t>PERSENTASE CAKUPAN IMUNISASI BAYI MENURUT KABUPATEN</t>
  </si>
  <si>
    <t xml:space="preserve">KABUPATEN </t>
  </si>
  <si>
    <t xml:space="preserve"> SERTA JUMLAH KABUPATEN DAN DESA YANG TERSERANG KLB</t>
  </si>
  <si>
    <t>PERSENTASE DESA/KELURAHAN DENGAN GARAM BERYODIUM YANG BAIK MENURUT KABUPATEN</t>
  </si>
  <si>
    <t>II</t>
  </si>
  <si>
    <t xml:space="preserve">Puskesmas </t>
  </si>
  <si>
    <t>III</t>
  </si>
  <si>
    <t>Dr. St. Imanuddin</t>
  </si>
  <si>
    <t>Dr. Murjani</t>
  </si>
  <si>
    <t>Kuala Pembuang</t>
  </si>
  <si>
    <t>Dr. Soemarno SA</t>
  </si>
  <si>
    <t>Kuala Kurun</t>
  </si>
  <si>
    <t>Buntok</t>
  </si>
  <si>
    <t>Tamiang Layang</t>
  </si>
  <si>
    <t>Muara Teweh</t>
  </si>
  <si>
    <t>Puruk Cahu</t>
  </si>
  <si>
    <t>Dr. Doris Sylvanus</t>
  </si>
  <si>
    <t>SUB JUMLAH III</t>
  </si>
  <si>
    <t>KABUPATEN/RS</t>
  </si>
  <si>
    <t>Puskesmas</t>
  </si>
  <si>
    <t>Balai Kesehatan Jiwa Kalawa Atei</t>
  </si>
  <si>
    <t>JUMLAH PENDUDUK PROVINSI</t>
  </si>
  <si>
    <t>JUMLAH DAN PERSENTASE POSYANDU MENURUT STRATA DAN KABUPATEN</t>
  </si>
  <si>
    <t>PERSENTASE RUMAH SEHAT MENURUT KABUPATEN</t>
  </si>
  <si>
    <t>KELUARGA DENGAN KEPEMILIKAN SARANA SANITASI DASAR MENURUT KABUPATEN</t>
  </si>
  <si>
    <t>PERSENTASE TEMPAT UMUM DAN PENGELOLAAN MAKANAN (TUPM) SEHAT MENURUT KABUPATEN</t>
  </si>
  <si>
    <t>Akper Kapuas</t>
  </si>
  <si>
    <t>Akper Sampit</t>
  </si>
  <si>
    <t>Bapelkes Palangka Raya</t>
  </si>
  <si>
    <t>KKP Sampit</t>
  </si>
  <si>
    <t>KKP Pulang Pisau</t>
  </si>
  <si>
    <t>Balai Keswamas Palangka Raya</t>
  </si>
  <si>
    <t>Balai Labkes Palangka Raya</t>
  </si>
  <si>
    <t>RS Bhayangkara</t>
  </si>
  <si>
    <t>DINKES KAB/KOTA/PROV</t>
  </si>
  <si>
    <t>Provinsi Kalimantan Tengah</t>
  </si>
  <si>
    <t>IV</t>
  </si>
  <si>
    <t>V</t>
  </si>
  <si>
    <t>UMUM</t>
  </si>
  <si>
    <t>Diare</t>
  </si>
  <si>
    <t>Amoksisilin 250 mg kapsul</t>
  </si>
  <si>
    <t>AFP</t>
  </si>
  <si>
    <t>Tetanus Neonatorum</t>
  </si>
  <si>
    <t>Rabies</t>
  </si>
  <si>
    <t>t.ad</t>
  </si>
  <si>
    <t>UTD PMI Kab. Kotawaringin Barat</t>
  </si>
  <si>
    <t>RS TNI Denkensyah</t>
  </si>
  <si>
    <t>UTD RSUD Buntok</t>
  </si>
  <si>
    <t xml:space="preserve">UTD RSUD Dr. Soemarno S. </t>
  </si>
  <si>
    <t>PMI Cab. Kab. Kotawaringin Timur</t>
  </si>
  <si>
    <t>DIV BIDAN</t>
  </si>
  <si>
    <t>Kasongan</t>
  </si>
  <si>
    <t>Amoksisilin 500 mg tablet</t>
  </si>
  <si>
    <t>Amoksisilin sirup</t>
  </si>
  <si>
    <t>Antasida tablet</t>
  </si>
  <si>
    <t>Dexametasone Inj</t>
  </si>
  <si>
    <t>Dextromethorfan sirup 10 mg/5 ml</t>
  </si>
  <si>
    <t>Dextromethorfan 15 mg tablet</t>
  </si>
  <si>
    <t>Difenhidramin Inj.</t>
  </si>
  <si>
    <t>Glukosa larutan infus 5 %</t>
  </si>
  <si>
    <t>Kotrimoxazole 480 tablet</t>
  </si>
  <si>
    <t>Natrium Klorida larutan 0,9% infus</t>
  </si>
  <si>
    <t>Paracetamol 500 mg tablet</t>
  </si>
  <si>
    <t>Ringer Laktat infus</t>
  </si>
  <si>
    <t>Infuset Anak</t>
  </si>
  <si>
    <t>Infuset Dewasa</t>
  </si>
  <si>
    <t>PROGRAM</t>
  </si>
  <si>
    <t>Vitamin B. Kompleks tablet</t>
  </si>
  <si>
    <t>Retinol 20.000 UI</t>
  </si>
  <si>
    <t>Tablet Tambah darah</t>
  </si>
  <si>
    <t>Garam Oralit 200 ml</t>
  </si>
  <si>
    <t>Kloroquin tablet</t>
  </si>
  <si>
    <t>PPC Inj.</t>
  </si>
  <si>
    <t>OAT Kat. 1</t>
  </si>
  <si>
    <t>OAT Kat. 2</t>
  </si>
  <si>
    <t>OAT Kat. 3</t>
  </si>
  <si>
    <t>OAT Kat. Sisipan</t>
  </si>
  <si>
    <t>OAT Kat. Anak</t>
  </si>
  <si>
    <t>Prednisone 5 mg tablet</t>
  </si>
  <si>
    <t>Asam Askorbat 50 mg tablet</t>
  </si>
  <si>
    <t>- Dana Dekonsentrasi (DK) &amp; TP</t>
  </si>
  <si>
    <t>Poltekes *)</t>
  </si>
  <si>
    <t>Badan POM Palangka Raya *)</t>
  </si>
  <si>
    <t>*) Data Tahun 2008</t>
  </si>
  <si>
    <t>Sumber: BPS Provinsi Kalimantan Tengah</t>
  </si>
  <si>
    <t>PROVINSI KALIMANTAN TENGAH</t>
  </si>
  <si>
    <t>TAHUN 2009</t>
  </si>
  <si>
    <t>TOTAL APBD KAB/KOTA/PROVINSI</t>
  </si>
  <si>
    <t>% APBD KESEHATAN THD APBD KAB/KOTA/PROV</t>
  </si>
  <si>
    <t>Sumber: Gudang Farmasi Dinas Kesehatan Provinsi Kalimantan Tengah</t>
  </si>
  <si>
    <t xml:space="preserve">Sumber: </t>
  </si>
  <si>
    <t>1. Profil Kesehatan Kab/Kota Tahun 2009</t>
  </si>
  <si>
    <t>4. Rumah Sakit Se Kalimantan Tengah Tahun 2009</t>
  </si>
  <si>
    <t>3. UPT Lingkungan Dinkes Prov. Kalteng Tahun 2009</t>
  </si>
  <si>
    <t>2. Bidang Bina SDM Kesehatan Dinkes Prov. Kalteng Tahun 2009</t>
  </si>
  <si>
    <t>2. Rumah Sakit Se Kalimantan Tengah Tahun 2009</t>
  </si>
  <si>
    <t>2. Subbag Penyusunan Program Dinkes Prov. Kalteng Tahun 2009</t>
  </si>
  <si>
    <t>t.a.d : tidak ada data</t>
  </si>
  <si>
    <t>: tidak ada data</t>
  </si>
  <si>
    <t xml:space="preserve">t.a.d </t>
  </si>
  <si>
    <t xml:space="preserve">      t.a.d : tidak ada data</t>
  </si>
  <si>
    <t>t.a.d :</t>
  </si>
  <si>
    <t>tidak ada data</t>
  </si>
  <si>
    <t xml:space="preserve"> MENURUT KABUPATEN/KOTA PROVINSI KALIMANTAN TENGAH</t>
  </si>
  <si>
    <t>JUMLAH PUS, PESERTA KB, PESERTA KB BARU, DAN KB AKTIF MENURUT KABUPATEN/KOTA</t>
  </si>
  <si>
    <t>CAKUPAN BAYI, BALITA  YANG MENDAPAT PELAYANAN KESEHATAN MENURUT KABUPATEN/KOTA</t>
  </si>
  <si>
    <t>MENURUT KABUPATEN/KOTA PROVINSI KALIMANTAN TENGAH</t>
  </si>
  <si>
    <t xml:space="preserve">MENURUT KABUPATEN/KOTA PROVINSI KALIMANTAN TENGAH </t>
  </si>
</sst>
</file>

<file path=xl/styles.xml><?xml version="1.0" encoding="utf-8"?>
<styleSheet xmlns="http://schemas.openxmlformats.org/spreadsheetml/2006/main">
  <numFmts count="5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0"/>
    <numFmt numFmtId="179" formatCode="00000"/>
    <numFmt numFmtId="180" formatCode="0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_(* #,##0.0_);_(* \(#,##0.0\);_(* &quot;-&quot;_);_(@_)"/>
    <numFmt numFmtId="187" formatCode="_(* #,##0.00_);_(* \(#,##0.00\);_(* &quot;-&quot;_);_(@_)"/>
    <numFmt numFmtId="188" formatCode="_(* #,##0.0_);_(* \(#,##0.0\);_(* &quot;-&quot;??_);_(@_)"/>
    <numFmt numFmtId="189" formatCode="_(* #,##0_);_(* \(#,##0\);_(* &quot;-&quot;??_);_(@_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"/>
    <numFmt numFmtId="196" formatCode="0.000"/>
    <numFmt numFmtId="197" formatCode="_(* #,##0.000_);_(* \(#,##0.000\);_(* &quot;-&quot;??_);_(@_)"/>
    <numFmt numFmtId="198" formatCode="_(* #,##0.0000_);_(* \(#,##0.0000\);_(* &quot;-&quot;??_);_(@_)"/>
    <numFmt numFmtId="199" formatCode="0.00000000000"/>
    <numFmt numFmtId="200" formatCode="_(* #,##0.000_);_(* \(#,##0.000\);_(* &quot;-&quot;_);_(@_)"/>
    <numFmt numFmtId="201" formatCode="0.000000000000"/>
    <numFmt numFmtId="202" formatCode="_(* #,##0.0_);_(* \(#,##0.0\);_(* &quot;-&quot;?_);_(@_)"/>
    <numFmt numFmtId="203" formatCode="0.0000E+00"/>
    <numFmt numFmtId="204" formatCode="0.000E+00"/>
    <numFmt numFmtId="205" formatCode="0.0E+00"/>
    <numFmt numFmtId="206" formatCode="0E+00"/>
    <numFmt numFmtId="207" formatCode="0.00000E+00"/>
    <numFmt numFmtId="208" formatCode="0.000000E+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vertAlign val="superscript"/>
      <sz val="11"/>
      <name val="Arial"/>
      <family val="2"/>
    </font>
    <font>
      <sz val="12"/>
      <color indexed="43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6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Continuous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89" fontId="5" fillId="0" borderId="5" xfId="15" applyNumberFormat="1" applyFont="1" applyBorder="1" applyAlignment="1">
      <alignment vertical="center"/>
    </xf>
    <xf numFmtId="188" fontId="5" fillId="0" borderId="5" xfId="15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89" fontId="5" fillId="0" borderId="10" xfId="15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0" borderId="12" xfId="16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9" fontId="5" fillId="0" borderId="12" xfId="15" applyNumberFormat="1" applyFont="1" applyBorder="1" applyAlignment="1">
      <alignment vertical="center"/>
    </xf>
    <xf numFmtId="189" fontId="5" fillId="0" borderId="11" xfId="15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" fontId="5" fillId="0" borderId="5" xfId="0" applyNumberFormat="1" applyFont="1" applyFill="1" applyBorder="1" applyAlignment="1" quotePrefix="1">
      <alignment horizontal="center" vertical="center"/>
    </xf>
    <xf numFmtId="0" fontId="5" fillId="0" borderId="5" xfId="0" applyFont="1" applyFill="1" applyBorder="1" applyAlignment="1" quotePrefix="1">
      <alignment horizontal="center" vertical="center"/>
    </xf>
    <xf numFmtId="0" fontId="5" fillId="0" borderId="20" xfId="0" applyFont="1" applyFill="1" applyBorder="1" applyAlignment="1" quotePrefix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1" fontId="5" fillId="0" borderId="5" xfId="16" applyFont="1" applyBorder="1" applyAlignment="1">
      <alignment vertical="center"/>
    </xf>
    <xf numFmtId="41" fontId="5" fillId="0" borderId="5" xfId="16" applyFont="1" applyFill="1" applyBorder="1" applyAlignment="1">
      <alignment vertical="center"/>
    </xf>
    <xf numFmtId="41" fontId="5" fillId="0" borderId="20" xfId="16" applyFont="1" applyFill="1" applyBorder="1" applyAlignment="1">
      <alignment vertical="center"/>
    </xf>
    <xf numFmtId="41" fontId="5" fillId="0" borderId="20" xfId="16" applyFont="1" applyBorder="1" applyAlignment="1">
      <alignment vertical="center"/>
    </xf>
    <xf numFmtId="186" fontId="5" fillId="0" borderId="5" xfId="16" applyNumberFormat="1" applyFont="1" applyFill="1" applyBorder="1" applyAlignment="1">
      <alignment vertical="center"/>
    </xf>
    <xf numFmtId="188" fontId="5" fillId="0" borderId="21" xfId="15" applyNumberFormat="1" applyFont="1" applyBorder="1" applyAlignment="1">
      <alignment vertical="center"/>
    </xf>
    <xf numFmtId="41" fontId="5" fillId="0" borderId="0" xfId="16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1" fontId="5" fillId="0" borderId="11" xfId="16" applyFont="1" applyBorder="1" applyAlignment="1">
      <alignment vertical="center"/>
    </xf>
    <xf numFmtId="41" fontId="5" fillId="0" borderId="11" xfId="16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4" xfId="0" applyFont="1" applyBorder="1" applyAlignment="1">
      <alignment horizontal="centerContinuous" vertical="center"/>
    </xf>
    <xf numFmtId="16" fontId="5" fillId="0" borderId="8" xfId="0" applyNumberFormat="1" applyFont="1" applyFill="1" applyBorder="1" applyAlignment="1" quotePrefix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1" fontId="5" fillId="0" borderId="10" xfId="16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26" xfId="0" applyFont="1" applyBorder="1" applyAlignment="1">
      <alignment horizontal="centerContinuous" vertical="center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41" fontId="5" fillId="0" borderId="5" xfId="16" applyFont="1" applyBorder="1" applyAlignment="1">
      <alignment wrapText="1"/>
    </xf>
    <xf numFmtId="186" fontId="5" fillId="0" borderId="10" xfId="16" applyNumberFormat="1" applyFont="1" applyBorder="1" applyAlignment="1">
      <alignment wrapText="1"/>
    </xf>
    <xf numFmtId="41" fontId="5" fillId="0" borderId="10" xfId="16" applyFont="1" applyBorder="1" applyAlignment="1">
      <alignment wrapText="1"/>
    </xf>
    <xf numFmtId="41" fontId="5" fillId="0" borderId="11" xfId="0" applyNumberFormat="1" applyFont="1" applyBorder="1" applyAlignment="1">
      <alignment wrapText="1"/>
    </xf>
    <xf numFmtId="41" fontId="5" fillId="0" borderId="13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7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86" fontId="5" fillId="0" borderId="27" xfId="16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189" fontId="5" fillId="0" borderId="5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89" fontId="5" fillId="0" borderId="1" xfId="15" applyNumberFormat="1" applyFont="1" applyBorder="1" applyAlignment="1">
      <alignment vertical="center"/>
    </xf>
    <xf numFmtId="41" fontId="5" fillId="0" borderId="1" xfId="16" applyFont="1" applyFill="1" applyBorder="1" applyAlignment="1">
      <alignment vertical="center"/>
    </xf>
    <xf numFmtId="189" fontId="5" fillId="0" borderId="1" xfId="0" applyNumberFormat="1" applyFont="1" applyBorder="1" applyAlignment="1">
      <alignment vertical="center"/>
    </xf>
    <xf numFmtId="41" fontId="5" fillId="0" borderId="1" xfId="16" applyFont="1" applyBorder="1" applyAlignment="1">
      <alignment vertical="center"/>
    </xf>
    <xf numFmtId="188" fontId="5" fillId="0" borderId="11" xfId="15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88" fontId="5" fillId="0" borderId="29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9" fontId="5" fillId="0" borderId="0" xfId="15" applyNumberFormat="1" applyFont="1" applyBorder="1" applyAlignment="1">
      <alignment vertical="center"/>
    </xf>
    <xf numFmtId="41" fontId="5" fillId="0" borderId="8" xfId="16" applyFont="1" applyBorder="1" applyAlignment="1">
      <alignment vertical="center"/>
    </xf>
    <xf numFmtId="189" fontId="5" fillId="0" borderId="1" xfId="15" applyNumberFormat="1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89" fontId="5" fillId="0" borderId="5" xfId="15" applyNumberFormat="1" applyFont="1" applyBorder="1" applyAlignment="1">
      <alignment wrapText="1"/>
    </xf>
    <xf numFmtId="43" fontId="5" fillId="0" borderId="5" xfId="15" applyFont="1" applyBorder="1" applyAlignment="1">
      <alignment wrapText="1"/>
    </xf>
    <xf numFmtId="189" fontId="5" fillId="0" borderId="10" xfId="15" applyNumberFormat="1" applyFont="1" applyBorder="1" applyAlignment="1">
      <alignment wrapText="1"/>
    </xf>
    <xf numFmtId="43" fontId="5" fillId="0" borderId="10" xfId="15" applyFont="1" applyBorder="1" applyAlignment="1">
      <alignment wrapText="1"/>
    </xf>
    <xf numFmtId="0" fontId="5" fillId="0" borderId="10" xfId="0" applyFont="1" applyBorder="1" applyAlignment="1">
      <alignment wrapText="1"/>
    </xf>
    <xf numFmtId="189" fontId="5" fillId="0" borderId="13" xfId="15" applyNumberFormat="1" applyFont="1" applyBorder="1" applyAlignment="1">
      <alignment wrapText="1"/>
    </xf>
    <xf numFmtId="0" fontId="5" fillId="2" borderId="30" xfId="0" applyFont="1" applyFill="1" applyBorder="1" applyAlignment="1">
      <alignment wrapText="1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89" fontId="5" fillId="0" borderId="5" xfId="15" applyNumberFormat="1" applyFont="1" applyFill="1" applyBorder="1" applyAlignment="1">
      <alignment vertical="center"/>
    </xf>
    <xf numFmtId="189" fontId="5" fillId="0" borderId="9" xfId="15" applyNumberFormat="1" applyFont="1" applyFill="1" applyBorder="1" applyAlignment="1">
      <alignment vertical="center"/>
    </xf>
    <xf numFmtId="43" fontId="5" fillId="0" borderId="5" xfId="15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3" fontId="5" fillId="0" borderId="10" xfId="15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89" fontId="5" fillId="0" borderId="1" xfId="15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vertical="center"/>
    </xf>
    <xf numFmtId="43" fontId="5" fillId="0" borderId="19" xfId="15" applyFont="1" applyFill="1" applyBorder="1" applyAlignment="1">
      <alignment vertical="center"/>
    </xf>
    <xf numFmtId="43" fontId="5" fillId="0" borderId="11" xfId="15" applyFont="1" applyFill="1" applyBorder="1" applyAlignment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Continuous" vertical="center"/>
    </xf>
    <xf numFmtId="189" fontId="5" fillId="0" borderId="10" xfId="15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89" fontId="5" fillId="0" borderId="29" xfId="15" applyNumberFormat="1" applyFont="1" applyFill="1" applyBorder="1" applyAlignment="1">
      <alignment vertical="center"/>
    </xf>
    <xf numFmtId="189" fontId="5" fillId="0" borderId="11" xfId="15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1" fontId="5" fillId="0" borderId="9" xfId="16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vertical="center"/>
    </xf>
    <xf numFmtId="41" fontId="5" fillId="0" borderId="29" xfId="16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43" fontId="5" fillId="0" borderId="0" xfId="15" applyFont="1" applyAlignment="1">
      <alignment vertical="center"/>
    </xf>
    <xf numFmtId="0" fontId="5" fillId="0" borderId="23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/>
    </xf>
    <xf numFmtId="0" fontId="5" fillId="0" borderId="9" xfId="0" applyFont="1" applyBorder="1" applyAlignment="1">
      <alignment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43" fontId="5" fillId="0" borderId="9" xfId="15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43" fontId="5" fillId="0" borderId="13" xfId="15" applyFont="1" applyFill="1" applyBorder="1" applyAlignment="1">
      <alignment vertical="center"/>
    </xf>
    <xf numFmtId="0" fontId="5" fillId="0" borderId="27" xfId="0" applyFont="1" applyBorder="1" applyAlignment="1">
      <alignment horizontal="centerContinuous" vertical="center"/>
    </xf>
    <xf numFmtId="189" fontId="5" fillId="0" borderId="8" xfId="15" applyNumberFormat="1" applyFont="1" applyBorder="1" applyAlignment="1">
      <alignment vertical="center"/>
    </xf>
    <xf numFmtId="43" fontId="5" fillId="0" borderId="8" xfId="15" applyNumberFormat="1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189" fontId="5" fillId="0" borderId="3" xfId="15" applyNumberFormat="1" applyFont="1" applyBorder="1" applyAlignment="1">
      <alignment vertical="center"/>
    </xf>
    <xf numFmtId="43" fontId="5" fillId="0" borderId="11" xfId="15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189" fontId="5" fillId="0" borderId="9" xfId="15" applyNumberFormat="1" applyFont="1" applyBorder="1" applyAlignment="1">
      <alignment vertical="center"/>
    </xf>
    <xf numFmtId="43" fontId="5" fillId="0" borderId="9" xfId="15" applyFont="1" applyBorder="1" applyAlignment="1">
      <alignment vertical="center"/>
    </xf>
    <xf numFmtId="43" fontId="5" fillId="0" borderId="5" xfId="15" applyFont="1" applyBorder="1" applyAlignment="1">
      <alignment vertical="center"/>
    </xf>
    <xf numFmtId="43" fontId="5" fillId="0" borderId="10" xfId="15" applyFont="1" applyBorder="1" applyAlignment="1">
      <alignment vertical="center"/>
    </xf>
    <xf numFmtId="43" fontId="5" fillId="0" borderId="11" xfId="15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43" fontId="5" fillId="0" borderId="5" xfId="15" applyNumberFormat="1" applyFont="1" applyBorder="1" applyAlignment="1">
      <alignment vertical="center"/>
    </xf>
    <xf numFmtId="43" fontId="5" fillId="0" borderId="10" xfId="15" applyNumberFormat="1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Continuous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/>
    </xf>
    <xf numFmtId="0" fontId="5" fillId="0" borderId="10" xfId="15" applyFont="1" applyBorder="1" applyAlignment="1">
      <alignment vertical="center"/>
    </xf>
    <xf numFmtId="189" fontId="5" fillId="0" borderId="13" xfId="15" applyNumberFormat="1" applyFont="1" applyBorder="1" applyAlignment="1">
      <alignment vertical="center"/>
    </xf>
    <xf numFmtId="0" fontId="5" fillId="0" borderId="13" xfId="15" applyFont="1" applyBorder="1" applyAlignment="1">
      <alignment vertical="center"/>
    </xf>
    <xf numFmtId="189" fontId="5" fillId="0" borderId="11" xfId="1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3" fontId="5" fillId="0" borderId="13" xfId="15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4" xfId="0" applyFont="1" applyFill="1" applyBorder="1" applyAlignment="1">
      <alignment horizontal="centerContinuous" vertical="center"/>
    </xf>
    <xf numFmtId="189" fontId="5" fillId="0" borderId="31" xfId="15" applyNumberFormat="1" applyFont="1" applyBorder="1" applyAlignment="1">
      <alignment vertical="center"/>
    </xf>
    <xf numFmtId="43" fontId="5" fillId="0" borderId="31" xfId="15" applyFont="1" applyBorder="1" applyAlignment="1">
      <alignment vertical="center"/>
    </xf>
    <xf numFmtId="43" fontId="5" fillId="0" borderId="8" xfId="15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89" fontId="5" fillId="0" borderId="13" xfId="15" applyNumberFormat="1" applyFont="1" applyBorder="1" applyAlignment="1">
      <alignment horizontal="center" vertical="center"/>
    </xf>
    <xf numFmtId="189" fontId="5" fillId="0" borderId="0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Continuous" vertical="center" wrapText="1"/>
    </xf>
    <xf numFmtId="0" fontId="4" fillId="0" borderId="1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89" fontId="5" fillId="0" borderId="20" xfId="15" applyNumberFormat="1" applyFont="1" applyFill="1" applyBorder="1" applyAlignment="1">
      <alignment vertical="center"/>
    </xf>
    <xf numFmtId="43" fontId="5" fillId="0" borderId="20" xfId="15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89" fontId="5" fillId="0" borderId="27" xfId="15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89" fontId="5" fillId="0" borderId="1" xfId="15" applyNumberFormat="1" applyFont="1" applyFill="1" applyBorder="1" applyAlignment="1">
      <alignment horizontal="center" vertical="center"/>
    </xf>
    <xf numFmtId="43" fontId="5" fillId="0" borderId="1" xfId="15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9" fontId="5" fillId="0" borderId="13" xfId="15" applyNumberFormat="1" applyFont="1" applyFill="1" applyBorder="1" applyAlignment="1">
      <alignment horizontal="center" vertical="center"/>
    </xf>
    <xf numFmtId="189" fontId="5" fillId="0" borderId="13" xfId="15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43" fontId="5" fillId="0" borderId="11" xfId="15" applyFont="1" applyBorder="1" applyAlignment="1">
      <alignment wrapText="1"/>
    </xf>
    <xf numFmtId="189" fontId="5" fillId="0" borderId="29" xfId="15" applyNumberFormat="1" applyFont="1" applyBorder="1" applyAlignment="1">
      <alignment vertical="center"/>
    </xf>
    <xf numFmtId="189" fontId="5" fillId="0" borderId="22" xfId="15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Continuous" vertical="center"/>
    </xf>
    <xf numFmtId="189" fontId="5" fillId="2" borderId="5" xfId="15" applyNumberFormat="1" applyFont="1" applyFill="1" applyBorder="1" applyAlignment="1">
      <alignment vertical="center"/>
    </xf>
    <xf numFmtId="0" fontId="5" fillId="0" borderId="5" xfId="0" applyFont="1" applyBorder="1" applyAlignment="1" quotePrefix="1">
      <alignment horizontal="left" vertical="center"/>
    </xf>
    <xf numFmtId="43" fontId="5" fillId="2" borderId="5" xfId="15" applyFont="1" applyFill="1" applyBorder="1" applyAlignment="1">
      <alignment vertical="center"/>
    </xf>
    <xf numFmtId="189" fontId="5" fillId="2" borderId="10" xfId="15" applyNumberFormat="1" applyFont="1" applyFill="1" applyBorder="1" applyAlignment="1">
      <alignment vertical="center"/>
    </xf>
    <xf numFmtId="43" fontId="5" fillId="2" borderId="10" xfId="15" applyFont="1" applyFill="1" applyBorder="1" applyAlignment="1">
      <alignment vertical="center"/>
    </xf>
    <xf numFmtId="43" fontId="5" fillId="2" borderId="11" xfId="15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Continuous" vertical="center"/>
    </xf>
    <xf numFmtId="189" fontId="5" fillId="0" borderId="20" xfId="15" applyNumberFormat="1" applyFont="1" applyBorder="1" applyAlignment="1">
      <alignment vertical="center"/>
    </xf>
    <xf numFmtId="43" fontId="5" fillId="0" borderId="20" xfId="15" applyFont="1" applyBorder="1" applyAlignment="1">
      <alignment vertical="center"/>
    </xf>
    <xf numFmtId="43" fontId="5" fillId="0" borderId="29" xfId="15" applyFont="1" applyBorder="1" applyAlignment="1">
      <alignment vertical="center"/>
    </xf>
    <xf numFmtId="0" fontId="4" fillId="0" borderId="10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2" fontId="4" fillId="0" borderId="9" xfId="0" applyNumberFormat="1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vertical="center"/>
    </xf>
    <xf numFmtId="0" fontId="5" fillId="0" borderId="1" xfId="0" applyFont="1" applyBorder="1" applyAlignment="1" quotePrefix="1">
      <alignment horizontal="center" vertical="center" textRotation="90" wrapText="1"/>
    </xf>
    <xf numFmtId="2" fontId="5" fillId="0" borderId="9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189" fontId="5" fillId="0" borderId="11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 textRotation="90" wrapText="1"/>
    </xf>
    <xf numFmtId="16" fontId="5" fillId="0" borderId="9" xfId="0" applyNumberFormat="1" applyFont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16" fontId="5" fillId="0" borderId="9" xfId="0" applyNumberFormat="1" applyFont="1" applyFill="1" applyBorder="1" applyAlignment="1">
      <alignment horizontal="center" vertical="center" textRotation="90" wrapText="1"/>
    </xf>
    <xf numFmtId="41" fontId="4" fillId="0" borderId="20" xfId="16" applyFont="1" applyBorder="1" applyAlignment="1">
      <alignment vertical="center"/>
    </xf>
    <xf numFmtId="43" fontId="4" fillId="0" borderId="20" xfId="15" applyFont="1" applyBorder="1" applyAlignment="1">
      <alignment vertical="center"/>
    </xf>
    <xf numFmtId="43" fontId="4" fillId="0" borderId="9" xfId="15" applyFont="1" applyBorder="1" applyAlignment="1">
      <alignment vertical="center"/>
    </xf>
    <xf numFmtId="41" fontId="4" fillId="0" borderId="20" xfId="16" applyFont="1" applyFill="1" applyBorder="1" applyAlignment="1">
      <alignment vertical="center"/>
    </xf>
    <xf numFmtId="43" fontId="4" fillId="0" borderId="9" xfId="15" applyFont="1" applyFill="1" applyBorder="1" applyAlignment="1">
      <alignment vertical="center"/>
    </xf>
    <xf numFmtId="189" fontId="4" fillId="0" borderId="20" xfId="15" applyNumberFormat="1" applyFont="1" applyFill="1" applyBorder="1" applyAlignment="1">
      <alignment vertical="center"/>
    </xf>
    <xf numFmtId="189" fontId="4" fillId="0" borderId="20" xfId="0" applyNumberFormat="1" applyFont="1" applyFill="1" applyBorder="1" applyAlignment="1">
      <alignment vertical="center"/>
    </xf>
    <xf numFmtId="43" fontId="4" fillId="0" borderId="5" xfId="15" applyFont="1" applyBorder="1" applyAlignment="1">
      <alignment vertical="center"/>
    </xf>
    <xf numFmtId="43" fontId="4" fillId="0" borderId="5" xfId="15" applyFont="1" applyFill="1" applyBorder="1" applyAlignment="1">
      <alignment vertical="center"/>
    </xf>
    <xf numFmtId="43" fontId="4" fillId="0" borderId="5" xfId="15" applyNumberFormat="1" applyFont="1" applyFill="1" applyBorder="1" applyAlignment="1">
      <alignment vertical="center"/>
    </xf>
    <xf numFmtId="41" fontId="4" fillId="0" borderId="27" xfId="16" applyFont="1" applyBorder="1" applyAlignment="1">
      <alignment vertical="center"/>
    </xf>
    <xf numFmtId="43" fontId="4" fillId="0" borderId="10" xfId="15" applyFont="1" applyBorder="1" applyAlignment="1">
      <alignment vertical="center"/>
    </xf>
    <xf numFmtId="41" fontId="4" fillId="0" borderId="27" xfId="16" applyFont="1" applyFill="1" applyBorder="1" applyAlignment="1">
      <alignment vertical="center"/>
    </xf>
    <xf numFmtId="43" fontId="4" fillId="0" borderId="10" xfId="15" applyFont="1" applyFill="1" applyBorder="1" applyAlignment="1">
      <alignment vertical="center"/>
    </xf>
    <xf numFmtId="189" fontId="4" fillId="0" borderId="27" xfId="15" applyNumberFormat="1" applyFont="1" applyFill="1" applyBorder="1" applyAlignment="1">
      <alignment vertical="center"/>
    </xf>
    <xf numFmtId="43" fontId="4" fillId="0" borderId="10" xfId="15" applyNumberFormat="1" applyFont="1" applyFill="1" applyBorder="1" applyAlignment="1">
      <alignment vertical="center"/>
    </xf>
    <xf numFmtId="41" fontId="4" fillId="0" borderId="11" xfId="16" applyFont="1" applyBorder="1" applyAlignment="1">
      <alignment vertical="center"/>
    </xf>
    <xf numFmtId="43" fontId="4" fillId="0" borderId="13" xfId="15" applyFont="1" applyBorder="1" applyAlignment="1">
      <alignment vertical="center"/>
    </xf>
    <xf numFmtId="43" fontId="4" fillId="0" borderId="13" xfId="15" applyFont="1" applyFill="1" applyBorder="1" applyAlignment="1">
      <alignment vertical="center"/>
    </xf>
    <xf numFmtId="189" fontId="4" fillId="0" borderId="11" xfId="15" applyNumberFormat="1" applyFont="1" applyBorder="1" applyAlignment="1">
      <alignment vertical="center"/>
    </xf>
    <xf numFmtId="43" fontId="4" fillId="0" borderId="13" xfId="15" applyNumberFormat="1" applyFont="1" applyFill="1" applyBorder="1" applyAlignment="1">
      <alignment vertical="center"/>
    </xf>
    <xf numFmtId="43" fontId="4" fillId="0" borderId="11" xfId="15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26" xfId="0" applyFont="1" applyBorder="1" applyAlignment="1">
      <alignment horizontal="centerContinuous" vertical="center"/>
    </xf>
    <xf numFmtId="0" fontId="5" fillId="0" borderId="26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41" fontId="5" fillId="0" borderId="5" xfId="16" applyFont="1" applyBorder="1" applyAlignment="1">
      <alignment wrapText="1"/>
    </xf>
    <xf numFmtId="43" fontId="5" fillId="0" borderId="5" xfId="15" applyFont="1" applyBorder="1" applyAlignment="1">
      <alignment wrapText="1"/>
    </xf>
    <xf numFmtId="43" fontId="5" fillId="0" borderId="10" xfId="15" applyFont="1" applyBorder="1" applyAlignment="1">
      <alignment wrapText="1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41" fontId="5" fillId="0" borderId="11" xfId="16" applyFont="1" applyBorder="1" applyAlignment="1">
      <alignment wrapText="1"/>
    </xf>
    <xf numFmtId="43" fontId="5" fillId="0" borderId="13" xfId="15" applyFont="1" applyBorder="1" applyAlignment="1">
      <alignment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 wrapText="1"/>
    </xf>
    <xf numFmtId="189" fontId="5" fillId="0" borderId="22" xfId="15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0" xfId="0" applyFont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 wrapText="1"/>
    </xf>
    <xf numFmtId="0" fontId="5" fillId="3" borderId="5" xfId="0" applyFont="1" applyFill="1" applyBorder="1" applyAlignment="1">
      <alignment vertical="center"/>
    </xf>
    <xf numFmtId="189" fontId="5" fillId="0" borderId="27" xfId="15" applyNumberFormat="1" applyFont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189" fontId="5" fillId="0" borderId="32" xfId="15" applyNumberFormat="1" applyFont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189" fontId="5" fillId="0" borderId="19" xfId="15" applyNumberFormat="1" applyFont="1" applyBorder="1" applyAlignment="1">
      <alignment vertical="center"/>
    </xf>
    <xf numFmtId="43" fontId="5" fillId="0" borderId="28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0" borderId="31" xfId="0" applyFont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2" borderId="28" xfId="0" applyFont="1" applyFill="1" applyBorder="1" applyAlignment="1">
      <alignment vertical="center"/>
    </xf>
    <xf numFmtId="9" fontId="5" fillId="0" borderId="9" xfId="0" applyNumberFormat="1" applyFont="1" applyBorder="1" applyAlignment="1">
      <alignment horizontal="center" vertical="center"/>
    </xf>
    <xf numFmtId="9" fontId="5" fillId="2" borderId="9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3" fontId="5" fillId="0" borderId="22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185" fontId="5" fillId="0" borderId="31" xfId="0" applyNumberFormat="1" applyFont="1" applyBorder="1" applyAlignment="1">
      <alignment vertical="center"/>
    </xf>
    <xf numFmtId="185" fontId="5" fillId="0" borderId="9" xfId="0" applyNumberFormat="1" applyFont="1" applyBorder="1" applyAlignment="1">
      <alignment vertical="center"/>
    </xf>
    <xf numFmtId="185" fontId="5" fillId="0" borderId="8" xfId="0" applyNumberFormat="1" applyFont="1" applyBorder="1" applyAlignment="1">
      <alignment vertical="center"/>
    </xf>
    <xf numFmtId="185" fontId="5" fillId="0" borderId="5" xfId="0" applyNumberFormat="1" applyFont="1" applyBorder="1" applyAlignment="1">
      <alignment vertical="center"/>
    </xf>
    <xf numFmtId="185" fontId="5" fillId="0" borderId="12" xfId="0" applyNumberFormat="1" applyFont="1" applyBorder="1" applyAlignment="1">
      <alignment vertical="center"/>
    </xf>
    <xf numFmtId="185" fontId="5" fillId="0" borderId="13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3" fontId="5" fillId="0" borderId="0" xfId="15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0" borderId="33" xfId="0" applyFont="1" applyBorder="1" applyAlignment="1" quotePrefix="1">
      <alignment vertical="center"/>
    </xf>
    <xf numFmtId="0" fontId="5" fillId="0" borderId="23" xfId="0" applyFont="1" applyBorder="1" applyAlignment="1" quotePrefix="1">
      <alignment vertical="center"/>
    </xf>
    <xf numFmtId="0" fontId="5" fillId="0" borderId="31" xfId="0" applyFont="1" applyBorder="1" applyAlignment="1">
      <alignment horizontal="center" vertical="center"/>
    </xf>
    <xf numFmtId="43" fontId="7" fillId="0" borderId="1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89" fontId="5" fillId="0" borderId="0" xfId="15" applyNumberFormat="1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43" fontId="5" fillId="0" borderId="20" xfId="15" applyNumberFormat="1" applyFont="1" applyFill="1" applyBorder="1" applyAlignment="1">
      <alignment vertical="center"/>
    </xf>
    <xf numFmtId="43" fontId="5" fillId="0" borderId="27" xfId="15" applyNumberFormat="1" applyFont="1" applyFill="1" applyBorder="1" applyAlignment="1">
      <alignment vertical="center"/>
    </xf>
    <xf numFmtId="43" fontId="5" fillId="0" borderId="13" xfId="15" applyNumberFormat="1" applyFont="1" applyFill="1" applyBorder="1" applyAlignment="1">
      <alignment vertical="center"/>
    </xf>
    <xf numFmtId="185" fontId="5" fillId="0" borderId="5" xfId="0" applyNumberFormat="1" applyFont="1" applyFill="1" applyBorder="1" applyAlignment="1">
      <alignment vertical="center"/>
    </xf>
    <xf numFmtId="189" fontId="5" fillId="0" borderId="31" xfId="15" applyNumberFormat="1" applyFont="1" applyFill="1" applyBorder="1" applyAlignment="1">
      <alignment vertical="center"/>
    </xf>
    <xf numFmtId="189" fontId="5" fillId="0" borderId="8" xfId="15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textRotation="90" wrapText="1"/>
    </xf>
    <xf numFmtId="2" fontId="5" fillId="0" borderId="0" xfId="0" applyNumberFormat="1" applyFont="1" applyBorder="1" applyAlignment="1">
      <alignment vertical="center"/>
    </xf>
    <xf numFmtId="0" fontId="5" fillId="0" borderId="5" xfId="0" applyFont="1" applyBorder="1" applyAlignment="1" quotePrefix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89" fontId="5" fillId="0" borderId="12" xfId="15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43" fontId="5" fillId="0" borderId="13" xfId="15" applyNumberFormat="1" applyFont="1" applyBorder="1" applyAlignment="1">
      <alignment vertical="center"/>
    </xf>
    <xf numFmtId="188" fontId="5" fillId="0" borderId="21" xfId="15" applyNumberFormat="1" applyFont="1" applyFill="1" applyBorder="1" applyAlignment="1">
      <alignment vertical="center"/>
    </xf>
    <xf numFmtId="186" fontId="5" fillId="0" borderId="11" xfId="16" applyNumberFormat="1" applyFont="1" applyFill="1" applyBorder="1" applyAlignment="1">
      <alignment vertical="center"/>
    </xf>
    <xf numFmtId="188" fontId="5" fillId="0" borderId="34" xfId="15" applyNumberFormat="1" applyFont="1" applyFill="1" applyBorder="1" applyAlignment="1">
      <alignment vertical="center"/>
    </xf>
    <xf numFmtId="43" fontId="5" fillId="0" borderId="13" xfId="15" applyFont="1" applyFill="1" applyBorder="1" applyAlignment="1">
      <alignment wrapText="1"/>
    </xf>
    <xf numFmtId="2" fontId="5" fillId="0" borderId="35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vertical="center"/>
    </xf>
    <xf numFmtId="188" fontId="11" fillId="2" borderId="11" xfId="0" applyNumberFormat="1" applyFont="1" applyFill="1" applyBorder="1" applyAlignment="1">
      <alignment vertical="center"/>
    </xf>
    <xf numFmtId="0" fontId="5" fillId="0" borderId="0" xfId="0" applyFont="1" applyAlignment="1" quotePrefix="1">
      <alignment vertical="center"/>
    </xf>
    <xf numFmtId="189" fontId="5" fillId="0" borderId="8" xfId="0" applyNumberFormat="1" applyFont="1" applyBorder="1" applyAlignment="1">
      <alignment wrapText="1"/>
    </xf>
    <xf numFmtId="189" fontId="5" fillId="0" borderId="3" xfId="0" applyNumberFormat="1" applyFont="1" applyBorder="1" applyAlignment="1">
      <alignment wrapText="1"/>
    </xf>
    <xf numFmtId="0" fontId="5" fillId="2" borderId="35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189" fontId="5" fillId="0" borderId="11" xfId="15" applyNumberFormat="1" applyFont="1" applyBorder="1" applyAlignment="1">
      <alignment wrapText="1"/>
    </xf>
    <xf numFmtId="189" fontId="5" fillId="0" borderId="1" xfId="0" applyNumberFormat="1" applyFont="1" applyFill="1" applyBorder="1" applyAlignment="1">
      <alignment vertical="center"/>
    </xf>
    <xf numFmtId="189" fontId="5" fillId="0" borderId="5" xfId="0" applyNumberFormat="1" applyFont="1" applyFill="1" applyBorder="1" applyAlignment="1">
      <alignment vertical="center"/>
    </xf>
    <xf numFmtId="189" fontId="5" fillId="0" borderId="10" xfId="0" applyNumberFormat="1" applyFont="1" applyFill="1" applyBorder="1" applyAlignment="1">
      <alignment vertical="center"/>
    </xf>
    <xf numFmtId="43" fontId="5" fillId="2" borderId="13" xfId="15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right"/>
    </xf>
    <xf numFmtId="0" fontId="12" fillId="0" borderId="20" xfId="0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20" xfId="0" applyFont="1" applyBorder="1" applyAlignment="1">
      <alignment/>
    </xf>
    <xf numFmtId="41" fontId="4" fillId="0" borderId="8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13" fillId="0" borderId="20" xfId="20" applyFont="1" applyBorder="1" applyAlignment="1">
      <alignment horizontal="center"/>
    </xf>
    <xf numFmtId="43" fontId="4" fillId="0" borderId="8" xfId="0" applyNumberFormat="1" applyFont="1" applyBorder="1" applyAlignment="1">
      <alignment horizontal="right"/>
    </xf>
    <xf numFmtId="43" fontId="4" fillId="0" borderId="20" xfId="0" applyNumberFormat="1" applyFont="1" applyBorder="1" applyAlignment="1">
      <alignment/>
    </xf>
    <xf numFmtId="2" fontId="4" fillId="0" borderId="8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/>
    </xf>
    <xf numFmtId="1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13" fillId="0" borderId="5" xfId="20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/>
    </xf>
    <xf numFmtId="41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13" fillId="0" borderId="10" xfId="20" applyFont="1" applyBorder="1" applyAlignment="1">
      <alignment horizontal="center"/>
    </xf>
    <xf numFmtId="0" fontId="4" fillId="0" borderId="4" xfId="0" applyFont="1" applyBorder="1" applyAlignment="1">
      <alignment/>
    </xf>
    <xf numFmtId="43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" fontId="4" fillId="0" borderId="3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13" fillId="0" borderId="27" xfId="20" applyFont="1" applyBorder="1" applyAlignment="1">
      <alignment horizontal="center"/>
    </xf>
    <xf numFmtId="43" fontId="4" fillId="0" borderId="5" xfId="15" applyNumberFormat="1" applyFont="1" applyBorder="1" applyAlignment="1">
      <alignment vertical="center"/>
    </xf>
    <xf numFmtId="189" fontId="4" fillId="0" borderId="5" xfId="15" applyNumberFormat="1" applyFont="1" applyBorder="1" applyAlignment="1">
      <alignment vertical="center"/>
    </xf>
    <xf numFmtId="43" fontId="4" fillId="0" borderId="11" xfId="15" applyNumberFormat="1" applyFont="1" applyBorder="1" applyAlignment="1">
      <alignment vertical="center"/>
    </xf>
    <xf numFmtId="0" fontId="4" fillId="0" borderId="5" xfId="15" applyNumberFormat="1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1" fontId="5" fillId="0" borderId="10" xfId="16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41" fontId="5" fillId="0" borderId="13" xfId="16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41" fontId="5" fillId="0" borderId="31" xfId="16" applyFont="1" applyBorder="1" applyAlignment="1">
      <alignment vertical="center"/>
    </xf>
    <xf numFmtId="41" fontId="0" fillId="0" borderId="0" xfId="16" applyFont="1" applyAlignment="1">
      <alignment vertical="center"/>
    </xf>
    <xf numFmtId="41" fontId="5" fillId="0" borderId="0" xfId="0" applyNumberFormat="1" applyFont="1" applyAlignment="1">
      <alignment wrapText="1"/>
    </xf>
    <xf numFmtId="2" fontId="5" fillId="0" borderId="5" xfId="0" applyNumberFormat="1" applyFont="1" applyFill="1" applyBorder="1" applyAlignment="1">
      <alignment vertical="center"/>
    </xf>
    <xf numFmtId="2" fontId="5" fillId="0" borderId="5" xfId="15" applyNumberFormat="1" applyFont="1" applyBorder="1" applyAlignment="1">
      <alignment vertical="center"/>
    </xf>
    <xf numFmtId="189" fontId="5" fillId="0" borderId="13" xfId="0" applyNumberFormat="1" applyFont="1" applyFill="1" applyBorder="1" applyAlignment="1">
      <alignment vertical="center"/>
    </xf>
    <xf numFmtId="2" fontId="5" fillId="0" borderId="13" xfId="15" applyNumberFormat="1" applyFont="1" applyFill="1" applyBorder="1" applyAlignment="1">
      <alignment vertical="center"/>
    </xf>
    <xf numFmtId="0" fontId="5" fillId="0" borderId="3" xfId="0" applyFont="1" applyBorder="1" applyAlignment="1" quotePrefix="1">
      <alignment horizontal="left" vertical="center"/>
    </xf>
    <xf numFmtId="189" fontId="5" fillId="0" borderId="32" xfId="15" applyNumberFormat="1" applyFont="1" applyFill="1" applyBorder="1" applyAlignment="1">
      <alignment vertical="center"/>
    </xf>
    <xf numFmtId="189" fontId="5" fillId="0" borderId="0" xfId="0" applyNumberFormat="1" applyFont="1" applyAlignment="1">
      <alignment vertical="center"/>
    </xf>
    <xf numFmtId="2" fontId="5" fillId="0" borderId="2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20" xfId="16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wrapText="1"/>
    </xf>
    <xf numFmtId="1" fontId="5" fillId="0" borderId="5" xfId="0" applyNumberFormat="1" applyFont="1" applyBorder="1" applyAlignment="1">
      <alignment wrapText="1"/>
    </xf>
    <xf numFmtId="2" fontId="4" fillId="0" borderId="5" xfId="15" applyNumberFormat="1" applyFont="1" applyBorder="1" applyAlignment="1">
      <alignment vertical="center"/>
    </xf>
    <xf numFmtId="185" fontId="4" fillId="0" borderId="5" xfId="15" applyNumberFormat="1" applyFont="1" applyBorder="1" applyAlignment="1">
      <alignment vertical="center"/>
    </xf>
    <xf numFmtId="2" fontId="5" fillId="0" borderId="9" xfId="0" applyNumberFormat="1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196" fontId="5" fillId="0" borderId="20" xfId="0" applyNumberFormat="1" applyFont="1" applyFill="1" applyBorder="1" applyAlignment="1">
      <alignment vertical="center"/>
    </xf>
    <xf numFmtId="2" fontId="5" fillId="0" borderId="5" xfId="0" applyNumberFormat="1" applyFont="1" applyBorder="1" applyAlignment="1">
      <alignment wrapText="1"/>
    </xf>
    <xf numFmtId="189" fontId="5" fillId="0" borderId="5" xfId="15" applyNumberFormat="1" applyFont="1" applyBorder="1" applyAlignment="1">
      <alignment wrapText="1"/>
    </xf>
    <xf numFmtId="189" fontId="5" fillId="0" borderId="9" xfId="15" applyNumberFormat="1" applyFont="1" applyBorder="1" applyAlignment="1">
      <alignment wrapText="1"/>
    </xf>
    <xf numFmtId="189" fontId="5" fillId="0" borderId="10" xfId="15" applyNumberFormat="1" applyFont="1" applyBorder="1" applyAlignment="1">
      <alignment wrapText="1"/>
    </xf>
    <xf numFmtId="189" fontId="5" fillId="0" borderId="13" xfId="15" applyNumberFormat="1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41" fontId="5" fillId="0" borderId="0" xfId="16" applyFont="1" applyAlignment="1">
      <alignment vertical="center"/>
    </xf>
    <xf numFmtId="0" fontId="5" fillId="0" borderId="5" xfId="0" applyFont="1" applyFill="1" applyBorder="1" applyAlignment="1">
      <alignment wrapText="1"/>
    </xf>
    <xf numFmtId="189" fontId="4" fillId="0" borderId="5" xfId="15" applyNumberFormat="1" applyFont="1" applyFill="1" applyBorder="1" applyAlignment="1">
      <alignment vertical="center"/>
    </xf>
    <xf numFmtId="0" fontId="5" fillId="0" borderId="8" xfId="0" applyFont="1" applyBorder="1" applyAlignment="1" quotePrefix="1">
      <alignment horizontal="left" vertical="center" wrapText="1"/>
    </xf>
    <xf numFmtId="0" fontId="5" fillId="0" borderId="20" xfId="0" applyFont="1" applyBorder="1" applyAlignment="1" quotePrefix="1">
      <alignment horizontal="left" vertical="center" wrapText="1"/>
    </xf>
    <xf numFmtId="185" fontId="5" fillId="0" borderId="8" xfId="0" applyNumberFormat="1" applyFont="1" applyFill="1" applyBorder="1" applyAlignment="1">
      <alignment vertical="center"/>
    </xf>
    <xf numFmtId="189" fontId="5" fillId="0" borderId="5" xfId="15" applyNumberFormat="1" applyFont="1" applyFill="1" applyBorder="1" applyAlignment="1">
      <alignment wrapText="1"/>
    </xf>
    <xf numFmtId="43" fontId="5" fillId="0" borderId="5" xfId="15" applyFont="1" applyFill="1" applyBorder="1" applyAlignment="1">
      <alignment wrapText="1"/>
    </xf>
    <xf numFmtId="43" fontId="5" fillId="0" borderId="11" xfId="15" applyNumberFormat="1" applyFont="1" applyFill="1" applyBorder="1" applyAlignment="1">
      <alignment vertical="center"/>
    </xf>
    <xf numFmtId="0" fontId="15" fillId="0" borderId="0" xfId="0" applyFont="1" applyAlignment="1">
      <alignment vertical="top" wrapText="1"/>
    </xf>
    <xf numFmtId="41" fontId="5" fillId="0" borderId="5" xfId="16" applyFont="1" applyFill="1" applyBorder="1" applyAlignment="1">
      <alignment wrapText="1"/>
    </xf>
    <xf numFmtId="188" fontId="5" fillId="0" borderId="36" xfId="15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96" fontId="5" fillId="0" borderId="5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189" fontId="5" fillId="0" borderId="5" xfId="15" applyNumberFormat="1" applyFont="1" applyFill="1" applyBorder="1" applyAlignment="1">
      <alignment wrapText="1"/>
    </xf>
    <xf numFmtId="41" fontId="5" fillId="0" borderId="8" xfId="16" applyFont="1" applyFill="1" applyBorder="1" applyAlignment="1">
      <alignment vertical="center"/>
    </xf>
    <xf numFmtId="2" fontId="5" fillId="0" borderId="5" xfId="15" applyNumberFormat="1" applyFont="1" applyFill="1" applyBorder="1" applyAlignment="1">
      <alignment vertical="center"/>
    </xf>
    <xf numFmtId="0" fontId="5" fillId="0" borderId="5" xfId="15" applyNumberFormat="1" applyFont="1" applyFill="1" applyBorder="1" applyAlignment="1">
      <alignment vertical="center"/>
    </xf>
    <xf numFmtId="43" fontId="5" fillId="0" borderId="5" xfId="15" applyNumberFormat="1" applyFont="1" applyFill="1" applyBorder="1" applyAlignment="1">
      <alignment vertical="center"/>
    </xf>
    <xf numFmtId="0" fontId="5" fillId="0" borderId="10" xfId="15" applyNumberFormat="1" applyFont="1" applyFill="1" applyBorder="1" applyAlignment="1">
      <alignment vertical="center"/>
    </xf>
    <xf numFmtId="41" fontId="5" fillId="0" borderId="20" xfId="16" applyFont="1" applyFill="1" applyBorder="1" applyAlignment="1">
      <alignment horizontal="center" vertical="center"/>
    </xf>
    <xf numFmtId="189" fontId="5" fillId="0" borderId="9" xfId="0" applyNumberFormat="1" applyFont="1" applyBorder="1" applyAlignment="1">
      <alignment vertical="center"/>
    </xf>
    <xf numFmtId="2" fontId="5" fillId="0" borderId="11" xfId="0" applyNumberFormat="1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center"/>
    </xf>
    <xf numFmtId="0" fontId="2" fillId="0" borderId="0" xfId="20" applyBorder="1" applyAlignment="1">
      <alignment horizontal="center"/>
    </xf>
    <xf numFmtId="2" fontId="5" fillId="0" borderId="1" xfId="0" applyNumberFormat="1" applyFont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43" fontId="5" fillId="0" borderId="1" xfId="15" applyNumberFormat="1" applyFont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/>
    </xf>
    <xf numFmtId="0" fontId="2" fillId="0" borderId="0" xfId="20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center"/>
    </xf>
    <xf numFmtId="41" fontId="5" fillId="2" borderId="5" xfId="16" applyFont="1" applyFill="1" applyBorder="1" applyAlignment="1">
      <alignment vertical="center"/>
    </xf>
    <xf numFmtId="41" fontId="5" fillId="0" borderId="13" xfId="16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2" borderId="37" xfId="0" applyFont="1" applyFill="1" applyBorder="1" applyAlignment="1">
      <alignment wrapText="1"/>
    </xf>
    <xf numFmtId="43" fontId="5" fillId="2" borderId="30" xfId="15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5" fillId="0" borderId="20" xfId="16" applyNumberFormat="1" applyFont="1" applyFill="1" applyBorder="1" applyAlignment="1" applyProtection="1">
      <alignment horizontal="center"/>
      <protection/>
    </xf>
    <xf numFmtId="0" fontId="5" fillId="0" borderId="20" xfId="16" applyNumberFormat="1" applyFont="1" applyFill="1" applyBorder="1" applyAlignment="1">
      <alignment horizontal="center" vertical="center"/>
    </xf>
    <xf numFmtId="0" fontId="5" fillId="0" borderId="20" xfId="15" applyNumberFormat="1" applyFont="1" applyFill="1" applyBorder="1" applyAlignment="1">
      <alignment horizontal="center" vertical="center"/>
    </xf>
    <xf numFmtId="41" fontId="5" fillId="0" borderId="0" xfId="16" applyFont="1" applyFill="1" applyAlignment="1">
      <alignment vertical="center"/>
    </xf>
    <xf numFmtId="0" fontId="5" fillId="0" borderId="38" xfId="0" applyFont="1" applyBorder="1" applyAlignment="1">
      <alignment/>
    </xf>
    <xf numFmtId="0" fontId="5" fillId="0" borderId="38" xfId="0" applyFont="1" applyFill="1" applyBorder="1" applyAlignment="1">
      <alignment/>
    </xf>
    <xf numFmtId="43" fontId="5" fillId="0" borderId="2" xfId="15" applyNumberFormat="1" applyFont="1" applyBorder="1" applyAlignment="1">
      <alignment vertical="center"/>
    </xf>
    <xf numFmtId="41" fontId="5" fillId="0" borderId="5" xfId="0" applyNumberFormat="1" applyFont="1" applyBorder="1" applyAlignment="1">
      <alignment horizontal="center" vertical="center"/>
    </xf>
    <xf numFmtId="41" fontId="5" fillId="0" borderId="5" xfId="16" applyFont="1" applyBorder="1" applyAlignment="1">
      <alignment horizontal="right" vertical="center"/>
    </xf>
    <xf numFmtId="41" fontId="5" fillId="0" borderId="9" xfId="16" applyFont="1" applyBorder="1" applyAlignment="1">
      <alignment vertical="center"/>
    </xf>
    <xf numFmtId="0" fontId="5" fillId="0" borderId="39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28" xfId="16" applyNumberFormat="1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quotePrefix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0" xfId="0" applyFont="1" applyFill="1" applyBorder="1" applyAlignment="1" quotePrefix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Fill="1" applyBorder="1" applyAlignment="1" quotePrefix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6" xfId="0" applyFont="1" applyBorder="1" applyAlignment="1" quotePrefix="1">
      <alignment horizontal="center" vertical="center"/>
    </xf>
    <xf numFmtId="0" fontId="5" fillId="0" borderId="35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0" xfId="0" applyFont="1" applyAlignment="1" quotePrefix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 quotePrefix="1">
      <alignment horizontal="center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left" vertical="center"/>
    </xf>
    <xf numFmtId="0" fontId="5" fillId="0" borderId="23" xfId="0" applyFont="1" applyBorder="1" applyAlignment="1" quotePrefix="1">
      <alignment horizontal="left" vertical="center"/>
    </xf>
    <xf numFmtId="0" fontId="5" fillId="0" borderId="29" xfId="0" applyFont="1" applyBorder="1" applyAlignment="1" quotePrefix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wrapText="1"/>
    </xf>
    <xf numFmtId="41" fontId="5" fillId="0" borderId="13" xfId="16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2" xfId="0" applyFont="1" applyBorder="1" applyAlignment="1">
      <alignment/>
    </xf>
    <xf numFmtId="2" fontId="5" fillId="0" borderId="5" xfId="0" applyNumberFormat="1" applyFont="1" applyFill="1" applyBorder="1" applyAlignment="1">
      <alignment horizontal="center" vertical="center"/>
    </xf>
    <xf numFmtId="185" fontId="5" fillId="0" borderId="5" xfId="0" applyNumberFormat="1" applyFont="1" applyFill="1" applyBorder="1" applyAlignment="1">
      <alignment horizontal="center" vertical="center"/>
    </xf>
    <xf numFmtId="185" fontId="5" fillId="0" borderId="13" xfId="0" applyNumberFormat="1" applyFont="1" applyFill="1" applyBorder="1" applyAlignment="1">
      <alignment horizontal="center" vertical="center"/>
    </xf>
    <xf numFmtId="2" fontId="5" fillId="0" borderId="28" xfId="0" applyNumberFormat="1" applyFont="1" applyBorder="1" applyAlignment="1">
      <alignment vertical="center"/>
    </xf>
    <xf numFmtId="2" fontId="4" fillId="0" borderId="11" xfId="15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13" xfId="16" applyNumberFormat="1" applyFont="1" applyBorder="1" applyAlignment="1">
      <alignment vertical="center"/>
    </xf>
    <xf numFmtId="196" fontId="4" fillId="0" borderId="8" xfId="0" applyNumberFormat="1" applyFont="1" applyBorder="1" applyAlignment="1">
      <alignment horizontal="right"/>
    </xf>
    <xf numFmtId="41" fontId="4" fillId="0" borderId="8" xfId="16" applyFont="1" applyBorder="1" applyAlignment="1">
      <alignment horizontal="right"/>
    </xf>
    <xf numFmtId="41" fontId="4" fillId="0" borderId="8" xfId="16" applyFont="1" applyBorder="1" applyAlignment="1">
      <alignment/>
    </xf>
    <xf numFmtId="189" fontId="5" fillId="0" borderId="5" xfId="15" applyNumberFormat="1" applyFont="1" applyFill="1" applyBorder="1" applyAlignment="1">
      <alignment horizontal="right" vertical="center"/>
    </xf>
    <xf numFmtId="189" fontId="5" fillId="0" borderId="20" xfId="15" applyNumberFormat="1" applyFont="1" applyFill="1" applyBorder="1" applyAlignment="1">
      <alignment horizontal="right" vertical="center"/>
    </xf>
    <xf numFmtId="189" fontId="5" fillId="0" borderId="5" xfId="15" applyNumberFormat="1" applyFont="1" applyFill="1" applyBorder="1" applyAlignment="1">
      <alignment horizontal="right" wrapText="1"/>
    </xf>
    <xf numFmtId="1" fontId="5" fillId="0" borderId="5" xfId="0" applyNumberFormat="1" applyFont="1" applyBorder="1" applyAlignment="1">
      <alignment vertical="center"/>
    </xf>
    <xf numFmtId="2" fontId="5" fillId="0" borderId="5" xfId="15" applyNumberFormat="1" applyFont="1" applyFill="1" applyBorder="1" applyAlignment="1">
      <alignment horizontal="right" vertical="center"/>
    </xf>
    <xf numFmtId="41" fontId="5" fillId="0" borderId="5" xfId="16" applyFont="1" applyFill="1" applyBorder="1" applyAlignment="1">
      <alignment horizontal="right" wrapText="1"/>
    </xf>
    <xf numFmtId="41" fontId="5" fillId="0" borderId="5" xfId="16" applyFont="1" applyBorder="1" applyAlignment="1">
      <alignment horizontal="right" wrapText="1"/>
    </xf>
    <xf numFmtId="186" fontId="5" fillId="0" borderId="5" xfId="16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1" fontId="5" fillId="0" borderId="9" xfId="16" applyFont="1" applyBorder="1" applyAlignment="1">
      <alignment horizontal="center" vertical="center"/>
    </xf>
    <xf numFmtId="186" fontId="5" fillId="0" borderId="5" xfId="16" applyNumberFormat="1" applyFont="1" applyFill="1" applyBorder="1" applyAlignment="1">
      <alignment horizontal="right" wrapText="1"/>
    </xf>
    <xf numFmtId="187" fontId="5" fillId="0" borderId="13" xfId="16" applyNumberFormat="1" applyFont="1" applyBorder="1" applyAlignment="1">
      <alignment wrapText="1"/>
    </xf>
    <xf numFmtId="187" fontId="5" fillId="0" borderId="13" xfId="16" applyNumberFormat="1" applyFont="1" applyFill="1" applyBorder="1" applyAlignment="1">
      <alignment wrapText="1"/>
    </xf>
    <xf numFmtId="189" fontId="5" fillId="0" borderId="5" xfId="15" applyNumberFormat="1" applyFont="1" applyBorder="1" applyAlignment="1">
      <alignment horizontal="right" wrapText="1"/>
    </xf>
    <xf numFmtId="43" fontId="5" fillId="0" borderId="5" xfId="15" applyFont="1" applyBorder="1" applyAlignment="1">
      <alignment horizontal="right" wrapText="1"/>
    </xf>
    <xf numFmtId="189" fontId="5" fillId="0" borderId="8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2" fontId="5" fillId="0" borderId="5" xfId="0" applyNumberFormat="1" applyFont="1" applyBorder="1" applyAlignment="1">
      <alignment horizontal="right" wrapText="1"/>
    </xf>
    <xf numFmtId="41" fontId="4" fillId="0" borderId="5" xfId="16" applyFont="1" applyFill="1" applyBorder="1" applyAlignment="1">
      <alignment vertical="center"/>
    </xf>
    <xf numFmtId="41" fontId="4" fillId="0" borderId="5" xfId="16" applyFont="1" applyBorder="1" applyAlignment="1">
      <alignment vertical="center"/>
    </xf>
    <xf numFmtId="0" fontId="4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 quotePrefix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89" fontId="5" fillId="2" borderId="31" xfId="15" applyNumberFormat="1" applyFont="1" applyFill="1" applyBorder="1" applyAlignment="1">
      <alignment horizontal="center" vertical="center"/>
    </xf>
    <xf numFmtId="189" fontId="5" fillId="2" borderId="45" xfId="15" applyNumberFormat="1" applyFont="1" applyFill="1" applyBorder="1" applyAlignment="1">
      <alignment horizontal="center" vertical="center"/>
    </xf>
    <xf numFmtId="189" fontId="5" fillId="2" borderId="32" xfId="15" applyNumberFormat="1" applyFont="1" applyFill="1" applyBorder="1" applyAlignment="1">
      <alignment horizontal="center" vertical="center"/>
    </xf>
    <xf numFmtId="189" fontId="5" fillId="2" borderId="8" xfId="15" applyNumberFormat="1" applyFont="1" applyFill="1" applyBorder="1" applyAlignment="1">
      <alignment horizontal="center" vertical="center"/>
    </xf>
    <xf numFmtId="189" fontId="5" fillId="2" borderId="0" xfId="15" applyNumberFormat="1" applyFont="1" applyFill="1" applyBorder="1" applyAlignment="1">
      <alignment horizontal="center" vertical="center"/>
    </xf>
    <xf numFmtId="189" fontId="5" fillId="2" borderId="20" xfId="15" applyNumberFormat="1" applyFont="1" applyFill="1" applyBorder="1" applyAlignment="1">
      <alignment horizontal="center" vertical="center"/>
    </xf>
    <xf numFmtId="189" fontId="5" fillId="2" borderId="12" xfId="15" applyNumberFormat="1" applyFont="1" applyFill="1" applyBorder="1" applyAlignment="1">
      <alignment horizontal="center" vertical="center"/>
    </xf>
    <xf numFmtId="189" fontId="5" fillId="2" borderId="26" xfId="15" applyNumberFormat="1" applyFont="1" applyFill="1" applyBorder="1" applyAlignment="1">
      <alignment horizontal="center" vertical="center"/>
    </xf>
    <xf numFmtId="189" fontId="5" fillId="2" borderId="28" xfId="15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 wrapText="1"/>
    </xf>
    <xf numFmtId="0" fontId="5" fillId="0" borderId="16" xfId="0" applyFont="1" applyBorder="1" applyAlignment="1" quotePrefix="1">
      <alignment horizontal="center" vertical="center" wrapText="1"/>
    </xf>
    <xf numFmtId="0" fontId="5" fillId="0" borderId="17" xfId="0" applyFont="1" applyBorder="1" applyAlignment="1" quotePrefix="1">
      <alignment horizontal="center" vertical="center" wrapText="1"/>
    </xf>
    <xf numFmtId="0" fontId="4" fillId="0" borderId="6" xfId="0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quotePrefix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 quotePrefix="1">
      <alignment horizontal="left" vertical="center" wrapText="1"/>
    </xf>
    <xf numFmtId="0" fontId="5" fillId="0" borderId="27" xfId="0" applyFont="1" applyBorder="1" applyAlignment="1" quotePrefix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 quotePrefix="1">
      <alignment vertical="center" wrapText="1"/>
    </xf>
    <xf numFmtId="0" fontId="5" fillId="0" borderId="20" xfId="0" applyFont="1" applyBorder="1" applyAlignment="1" quotePrefix="1">
      <alignment vertical="center" wrapText="1"/>
    </xf>
    <xf numFmtId="0" fontId="5" fillId="0" borderId="31" xfId="0" applyFont="1" applyBorder="1" applyAlignment="1" quotePrefix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 quotePrefix="1">
      <alignment vertical="center"/>
    </xf>
    <xf numFmtId="0" fontId="5" fillId="0" borderId="0" xfId="0" applyFont="1" applyAlignment="1" quotePrefix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ares [0]_Well Timing" xfId="21"/>
    <cellStyle name="Millares_Well Timing" xfId="22"/>
    <cellStyle name="Moneda [0]_Well Timing" xfId="23"/>
    <cellStyle name="Moneda_Well Timing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762250" y="15973425"/>
          <a:ext cx="0" cy="0"/>
          <a:chOff x="175" y="611"/>
          <a:chExt cx="8" cy="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75" y="611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75" y="615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762250" y="16021050"/>
          <a:ext cx="0" cy="0"/>
          <a:chOff x="175" y="611"/>
          <a:chExt cx="8" cy="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75" y="611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75" y="615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2762250" y="16021050"/>
          <a:ext cx="0" cy="0"/>
          <a:chOff x="175" y="611"/>
          <a:chExt cx="8" cy="4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175" y="611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75" y="615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762250" y="15906750"/>
          <a:ext cx="0" cy="0"/>
          <a:chOff x="175" y="611"/>
          <a:chExt cx="8" cy="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75" y="611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75" y="615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ugeng\My%20Documents\Pedoman%20Profil%20Kes%20Kab-Kota%2013%20Feb%2008\TABEL%20LAMPIRAN%20PROFIL_RESUME1.xls#'1'!A1" TargetMode="External" /><Relationship Id="rId2" Type="http://schemas.openxmlformats.org/officeDocument/2006/relationships/hyperlink" Target="file://C:\Documents%20and%20Settings\sugeng\My%20Documents\Pedoman%20Profil%20Kes%20Kab-Kota%2013%20Feb%2008\TABEL%20LAMPIRAN%20PROFIL_RESUME1.xls#'1'!A1" TargetMode="External" /><Relationship Id="rId3" Type="http://schemas.openxmlformats.org/officeDocument/2006/relationships/hyperlink" Target="file://C:\Documents%20and%20Settings\sugeng\My%20Documents\Pedoman%20Profil%20Kes%20Kab-Kota%2013%20Feb%2008\TABEL%20LAMPIRAN%20PROFIL_RESUME1.xls#'1'!A1" TargetMode="External" /><Relationship Id="rId4" Type="http://schemas.openxmlformats.org/officeDocument/2006/relationships/hyperlink" Target="file://C:\Documents%20and%20Settings\sugeng\My%20Documents\Pedoman%20Profil%20Kes%20Kab-Kota%2013%20Feb%2008\TABEL%20LAMPIRAN%20PROFIL_RESUME1.xls#'1'!A1" TargetMode="External" /><Relationship Id="rId5" Type="http://schemas.openxmlformats.org/officeDocument/2006/relationships/hyperlink" Target="file://C:\Documents%20and%20Settings\sugeng\My%20Documents\Pedoman%20Profil%20Kes%20Kab-Kota%2013%20Feb%2008\TABEL%20LAMPIRAN%20PROFIL_RESUME1.xls#'2'!A1" TargetMode="External" /><Relationship Id="rId6" Type="http://schemas.openxmlformats.org/officeDocument/2006/relationships/hyperlink" Target="file://C:\Documents%20and%20Settings\sugeng\My%20Documents\Pedoman%20Profil%20Kes%20Kab-Kota%2013%20Feb%2008\TABEL%20LAMPIRAN%20PROFIL_RESUME1.xls#'2'!A1" TargetMode="External" /><Relationship Id="rId7" Type="http://schemas.openxmlformats.org/officeDocument/2006/relationships/hyperlink" Target="file://C:\Documents%20and%20Settings\sugeng\My%20Documents\Pedoman%20Profil%20Kes%20Kab-Kota%2013%20Feb%2008\TABEL%20LAMPIRAN%20PROFIL_RESUME1.xls#'2'!A1" TargetMode="External" /><Relationship Id="rId8" Type="http://schemas.openxmlformats.org/officeDocument/2006/relationships/hyperlink" Target="file://C:\Documents%20and%20Settings\sugeng\My%20Documents\Pedoman%20Profil%20Kes%20Kab-Kota%2013%20Feb%2008\TABEL%20LAMPIRAN%20PROFIL_RESUME1.xls#'5'!A1" TargetMode="External" /><Relationship Id="rId9" Type="http://schemas.openxmlformats.org/officeDocument/2006/relationships/hyperlink" Target="file://C:\Documents%20and%20Settings\sugeng\My%20Documents\Pedoman%20Profil%20Kes%20Kab-Kota%2013%20Feb%2008\TABEL%20LAMPIRAN%20PROFIL_RESUME1.xls#'5'!A1" TargetMode="External" /><Relationship Id="rId10" Type="http://schemas.openxmlformats.org/officeDocument/2006/relationships/hyperlink" Target="file://C:\Documents%20and%20Settings\sugeng\My%20Documents\Pedoman%20Profil%20Kes%20Kab-Kota%2013%20Feb%2008\TABEL%20LAMPIRAN%20PROFIL_RESUME1.xls#'6'!A1" TargetMode="External" /><Relationship Id="rId11" Type="http://schemas.openxmlformats.org/officeDocument/2006/relationships/hyperlink" Target="file://C:\Documents%20and%20Settings\sugeng\My%20Documents\Pedoman%20Profil%20Kes%20Kab-Kota%2013%20Feb%2008\TABEL%20LAMPIRAN%20PROFIL_RESUME1.xls#'6'!A1" TargetMode="External" /><Relationship Id="rId12" Type="http://schemas.openxmlformats.org/officeDocument/2006/relationships/hyperlink" Target="file://C:\Documents%20and%20Settings\sugeng\My%20Documents\Pedoman%20Profil%20Kes%20Kab-Kota%2013%20Feb%2008\TABEL%20LAMPIRAN%20PROFIL_RESUME1.xls#'7'!A1" TargetMode="External" /><Relationship Id="rId13" Type="http://schemas.openxmlformats.org/officeDocument/2006/relationships/hyperlink" Target="file://C:\Documents%20and%20Settings\sugeng\My%20Documents\Pedoman%20Profil%20Kes%20Kab-Kota%2013%20Feb%2008\TABEL%20LAMPIRAN%20PROFIL_RESUME1.xls#'7'!A1" TargetMode="External" /><Relationship Id="rId14" Type="http://schemas.openxmlformats.org/officeDocument/2006/relationships/hyperlink" Target="file://C:\Documents%20and%20Settings\sugeng\My%20Documents\Pedoman%20Profil%20Kes%20Kab-Kota%2013%20Feb%2008\TABEL%20LAMPIRAN%20PROFIL_RESUME1.xls#'9'!A1" TargetMode="External" /><Relationship Id="rId15" Type="http://schemas.openxmlformats.org/officeDocument/2006/relationships/hyperlink" Target="file://C:\Documents%20and%20Settings\sugeng\My%20Documents\Pedoman%20Profil%20Kes%20Kab-Kota%2013%20Feb%2008\TABEL%20LAMPIRAN%20PROFIL_RESUME1.xls#'9'!A1" TargetMode="External" /><Relationship Id="rId16" Type="http://schemas.openxmlformats.org/officeDocument/2006/relationships/hyperlink" Target="file://C:\Documents%20and%20Settings\sugeng\My%20Documents\Pedoman%20Profil%20Kes%20Kab-Kota%2013%20Feb%2008\TABEL%20LAMPIRAN%20PROFIL_RESUME1.xls#'10'!A1" TargetMode="External" /><Relationship Id="rId17" Type="http://schemas.openxmlformats.org/officeDocument/2006/relationships/hyperlink" Target="file://C:\Documents%20and%20Settings\sugeng\My%20Documents\Pedoman%20Profil%20Kes%20Kab-Kota%2013%20Feb%2008\TABEL%20LAMPIRAN%20PROFIL_RESUME1.xls#'10'!A1" TargetMode="External" /><Relationship Id="rId18" Type="http://schemas.openxmlformats.org/officeDocument/2006/relationships/hyperlink" Target="file://C:\Documents%20and%20Settings\sugeng\My%20Documents\Pedoman%20Profil%20Kes%20Kab-Kota%2013%20Feb%2008\TABEL%20LAMPIRAN%20PROFIL_RESUME1.xls#'11'!A1" TargetMode="External" /><Relationship Id="rId19" Type="http://schemas.openxmlformats.org/officeDocument/2006/relationships/hyperlink" Target="file://C:\Documents%20and%20Settings\sugeng\My%20Documents\Pedoman%20Profil%20Kes%20Kab-Kota%2013%20Feb%2008\TABEL%20LAMPIRAN%20PROFIL_RESUME1.xls#'12'!A1" TargetMode="External" /><Relationship Id="rId20" Type="http://schemas.openxmlformats.org/officeDocument/2006/relationships/hyperlink" Target="file://C:\Documents%20and%20Settings\sugeng\My%20Documents\Pedoman%20Profil%20Kes%20Kab-Kota%2013%20Feb%2008\TABEL%20LAMPIRAN%20PROFIL_RESUME1.xls#'12'!A1" TargetMode="External" /><Relationship Id="rId21" Type="http://schemas.openxmlformats.org/officeDocument/2006/relationships/hyperlink" Target="file://C:\Documents%20and%20Settings\sugeng\My%20Documents\Pedoman%20Profil%20Kes%20Kab-Kota%2013%20Feb%2008\TABEL%20LAMPIRAN%20PROFIL_RESUME1.xls#'13'!A1" TargetMode="External" /><Relationship Id="rId22" Type="http://schemas.openxmlformats.org/officeDocument/2006/relationships/hyperlink" Target="file://C:\Documents%20and%20Settings\sugeng\My%20Documents\Pedoman%20Profil%20Kes%20Kab-Kota%2013%20Feb%2008\TABEL%20LAMPIRAN%20PROFIL_RESUME1.xls#'14'!A1" TargetMode="External" /><Relationship Id="rId23" Type="http://schemas.openxmlformats.org/officeDocument/2006/relationships/hyperlink" Target="file://C:\Documents%20and%20Settings\sugeng\My%20Documents\Pedoman%20Profil%20Kes%20Kab-Kota%2013%20Feb%2008\TABEL%20LAMPIRAN%20PROFIL_RESUME1.xls#'14'!A1" TargetMode="External" /><Relationship Id="rId24" Type="http://schemas.openxmlformats.org/officeDocument/2006/relationships/hyperlink" Target="file://C:\Documents%20and%20Settings\sugeng\My%20Documents\Pedoman%20Profil%20Kes%20Kab-Kota%2013%20Feb%2008\TABEL%20LAMPIRAN%20PROFIL_RESUME1.xls#'15'!A1" TargetMode="External" /><Relationship Id="rId25" Type="http://schemas.openxmlformats.org/officeDocument/2006/relationships/hyperlink" Target="file://C:\Documents%20and%20Settings\sugeng\My%20Documents\Pedoman%20Profil%20Kes%20Kab-Kota%2013%20Feb%2008\TABEL%20LAMPIRAN%20PROFIL_RESUME1.xls#'15'!A1" TargetMode="External" /><Relationship Id="rId26" Type="http://schemas.openxmlformats.org/officeDocument/2006/relationships/hyperlink" Target="file://C:\Documents%20and%20Settings\sugeng\My%20Documents\Pedoman%20Profil%20Kes%20Kab-Kota%2013%20Feb%2008\TABEL%20LAMPIRAN%20PROFIL_RESUME1.xls#'16'!A1" TargetMode="External" /><Relationship Id="rId27" Type="http://schemas.openxmlformats.org/officeDocument/2006/relationships/hyperlink" Target="file://C:\Documents%20and%20Settings\sugeng\My%20Documents\Pedoman%20Profil%20Kes%20Kab-Kota%2013%20Feb%2008\TABEL%20LAMPIRAN%20PROFIL_RESUME1.xls#'16'!A1" TargetMode="External" /><Relationship Id="rId28" Type="http://schemas.openxmlformats.org/officeDocument/2006/relationships/hyperlink" Target="file://C:\Documents%20and%20Settings\sugeng\My%20Documents\Pedoman%20Profil%20Kes%20Kab-Kota%2013%20Feb%2008\TABEL%20LAMPIRAN%20PROFIL_RESUME1.xls#'17'!A1" TargetMode="External" /><Relationship Id="rId29" Type="http://schemas.openxmlformats.org/officeDocument/2006/relationships/hyperlink" Target="file://C:\Documents%20and%20Settings\sugeng\My%20Documents\Pedoman%20Profil%20Kes%20Kab-Kota%2013%20Feb%2008\TABEL%20LAMPIRAN%20PROFIL_RESUME1.xls#'17'!A1" TargetMode="External" /><Relationship Id="rId30" Type="http://schemas.openxmlformats.org/officeDocument/2006/relationships/hyperlink" Target="file://C:\Documents%20and%20Settings\sugeng\My%20Documents\Pedoman%20Profil%20Kes%20Kab-Kota%2013%20Feb%2008\TABEL%20LAMPIRAN%20PROFIL_RESUME1.xls#'18'!A1" TargetMode="External" /><Relationship Id="rId31" Type="http://schemas.openxmlformats.org/officeDocument/2006/relationships/hyperlink" Target="file://C:\Documents%20and%20Settings\sugeng\My%20Documents\Pedoman%20Profil%20Kes%20Kab-Kota%2013%20Feb%2008\TABEL%20LAMPIRAN%20PROFIL_RESUME1.xls#'18'!A1" TargetMode="External" /><Relationship Id="rId32" Type="http://schemas.openxmlformats.org/officeDocument/2006/relationships/hyperlink" Target="file://C:\Documents%20and%20Settings\sugeng\My%20Documents\Pedoman%20Profil%20Kes%20Kab-Kota%2013%20Feb%2008\TABEL%20LAMPIRAN%20PROFIL_RESUME1.xls#'19'!A1" TargetMode="External" /><Relationship Id="rId33" Type="http://schemas.openxmlformats.org/officeDocument/2006/relationships/hyperlink" Target="file://C:\Documents%20and%20Settings\sugeng\My%20Documents\Pedoman%20Profil%20Kes%20Kab-Kota%2013%20Feb%2008\TABEL%20LAMPIRAN%20PROFIL_RESUME1.xls#'19'!A1" TargetMode="External" /><Relationship Id="rId34" Type="http://schemas.openxmlformats.org/officeDocument/2006/relationships/hyperlink" Target="file://C:\Documents%20and%20Settings\sugeng\My%20Documents\Pedoman%20Profil%20Kes%20Kab-Kota%2013%20Feb%2008\TABEL%20LAMPIRAN%20PROFIL_RESUME1.xls#'20'!A1" TargetMode="External" /><Relationship Id="rId35" Type="http://schemas.openxmlformats.org/officeDocument/2006/relationships/hyperlink" Target="file://C:\Documents%20and%20Settings\sugeng\My%20Documents\Pedoman%20Profil%20Kes%20Kab-Kota%2013%20Feb%2008\TABEL%20LAMPIRAN%20PROFIL_RESUME1.xls#'21'!A1" TargetMode="External" /><Relationship Id="rId36" Type="http://schemas.openxmlformats.org/officeDocument/2006/relationships/hyperlink" Target="file://C:\Documents%20and%20Settings\sugeng\My%20Documents\Pedoman%20Profil%20Kes%20Kab-Kota%2013%20Feb%2008\TABEL%20LAMPIRAN%20PROFIL_RESUME1.xls#'22'!A1" TargetMode="External" /><Relationship Id="rId37" Type="http://schemas.openxmlformats.org/officeDocument/2006/relationships/hyperlink" Target="file://C:\Documents%20and%20Settings\sugeng\My%20Documents\Pedoman%20Profil%20Kes%20Kab-Kota%2013%20Feb%2008\TABEL%20LAMPIRAN%20PROFIL_RESUME1.xls#'23'!A1" TargetMode="External" /><Relationship Id="rId38" Type="http://schemas.openxmlformats.org/officeDocument/2006/relationships/hyperlink" Target="file://C:\Documents%20and%20Settings\sugeng\My%20Documents\Pedoman%20Profil%20Kes%20Kab-Kota%2013%20Feb%2008\TABEL%20LAMPIRAN%20PROFIL_RESUME1.xls#'23'!A1" TargetMode="External" /><Relationship Id="rId39" Type="http://schemas.openxmlformats.org/officeDocument/2006/relationships/hyperlink" Target="file://C:\Documents%20and%20Settings\sugeng\My%20Documents\Pedoman%20Profil%20Kes%20Kab-Kota%2013%20Feb%2008\TABEL%20LAMPIRAN%20PROFIL_RESUME1.xls#'24'!A1" TargetMode="External" /><Relationship Id="rId40" Type="http://schemas.openxmlformats.org/officeDocument/2006/relationships/hyperlink" Target="file://C:\Documents%20and%20Settings\sugeng\My%20Documents\Pedoman%20Profil%20Kes%20Kab-Kota%2013%20Feb%2008\TABEL%20LAMPIRAN%20PROFIL_RESUME1.xls#'24'!A1" TargetMode="External" /><Relationship Id="rId41" Type="http://schemas.openxmlformats.org/officeDocument/2006/relationships/hyperlink" Target="file://C:\Documents%20and%20Settings\sugeng\My%20Documents\Pedoman%20Profil%20Kes%20Kab-Kota%2013%20Feb%2008\TABEL%20LAMPIRAN%20PROFIL_RESUME1.xls#'25'!A1" TargetMode="External" /><Relationship Id="rId42" Type="http://schemas.openxmlformats.org/officeDocument/2006/relationships/hyperlink" Target="file://C:\Documents%20and%20Settings\sugeng\My%20Documents\Pedoman%20Profil%20Kes%20Kab-Kota%2013%20Feb%2008\TABEL%20LAMPIRAN%20PROFIL_RESUME1.xls#'25'!A1" TargetMode="External" /><Relationship Id="rId43" Type="http://schemas.openxmlformats.org/officeDocument/2006/relationships/hyperlink" Target="file://C:\Documents%20and%20Settings\sugeng\My%20Documents\Pedoman%20Profil%20Kes%20Kab-Kota%2013%20Feb%2008\TABEL%20LAMPIRAN%20PROFIL_RESUME1.xls#'26'!A1" TargetMode="External" /><Relationship Id="rId44" Type="http://schemas.openxmlformats.org/officeDocument/2006/relationships/hyperlink" Target="file://C:\Documents%20and%20Settings\sugeng\My%20Documents\Pedoman%20Profil%20Kes%20Kab-Kota%2013%20Feb%2008\TABEL%20LAMPIRAN%20PROFIL_RESUME1.xls#'27'!A1" TargetMode="External" /><Relationship Id="rId45" Type="http://schemas.openxmlformats.org/officeDocument/2006/relationships/hyperlink" Target="file://C:\Documents%20and%20Settings\sugeng\My%20Documents\Pedoman%20Profil%20Kes%20Kab-Kota%2013%20Feb%2008\TABEL%20LAMPIRAN%20PROFIL_RESUME1.xls#'27'!A1" TargetMode="External" /><Relationship Id="rId46" Type="http://schemas.openxmlformats.org/officeDocument/2006/relationships/hyperlink" Target="file://C:\Documents%20and%20Settings\sugeng\My%20Documents\Pedoman%20Profil%20Kes%20Kab-Kota%2013%20Feb%2008\TABEL%20LAMPIRAN%20PROFIL_RESUME1.xls#'28'!A1" TargetMode="External" /><Relationship Id="rId47" Type="http://schemas.openxmlformats.org/officeDocument/2006/relationships/hyperlink" Target="file://C:\Documents%20and%20Settings\sugeng\My%20Documents\Pedoman%20Profil%20Kes%20Kab-Kota%2013%20Feb%2008\TABEL%20LAMPIRAN%20PROFIL_RESUME1.xls#'28'!A1" TargetMode="External" /><Relationship Id="rId48" Type="http://schemas.openxmlformats.org/officeDocument/2006/relationships/hyperlink" Target="file://C:\Documents%20and%20Settings\sugeng\My%20Documents\Pedoman%20Profil%20Kes%20Kab-Kota%2013%20Feb%2008\TABEL%20LAMPIRAN%20PROFIL_RESUME1.xls#'29'!A1" TargetMode="External" /><Relationship Id="rId49" Type="http://schemas.openxmlformats.org/officeDocument/2006/relationships/hyperlink" Target="file://C:\Documents%20and%20Settings\sugeng\My%20Documents\Pedoman%20Profil%20Kes%20Kab-Kota%2013%20Feb%2008\TABEL%20LAMPIRAN%20PROFIL_RESUME1.xls#'30'!A1" TargetMode="External" /><Relationship Id="rId50" Type="http://schemas.openxmlformats.org/officeDocument/2006/relationships/hyperlink" Target="file://C:\Documents%20and%20Settings\sugeng\My%20Documents\Pedoman%20Profil%20Kes%20Kab-Kota%2013%20Feb%2008\TABEL%20LAMPIRAN%20PROFIL_RESUME1.xls#'32'!A1" TargetMode="External" /><Relationship Id="rId51" Type="http://schemas.openxmlformats.org/officeDocument/2006/relationships/hyperlink" Target="file://C:\Documents%20and%20Settings\sugeng\My%20Documents\Pedoman%20Profil%20Kes%20Kab-Kota%2013%20Feb%2008\TABEL%20LAMPIRAN%20PROFIL_RESUME1.xls#'33'!A1" TargetMode="External" /><Relationship Id="rId52" Type="http://schemas.openxmlformats.org/officeDocument/2006/relationships/hyperlink" Target="file://C:\Documents%20and%20Settings\sugeng\My%20Documents\Pedoman%20Profil%20Kes%20Kab-Kota%2013%20Feb%2008\TABEL%20LAMPIRAN%20PROFIL_RESUME1.xls#'34'!A1" TargetMode="External" /><Relationship Id="rId53" Type="http://schemas.openxmlformats.org/officeDocument/2006/relationships/hyperlink" Target="file://C:\Documents%20and%20Settings\sugeng\My%20Documents\Pedoman%20Profil%20Kes%20Kab-Kota%2013%20Feb%2008\TABEL%20LAMPIRAN%20PROFIL_RESUME1.xls#'34'!A1" TargetMode="External" /><Relationship Id="rId54" Type="http://schemas.openxmlformats.org/officeDocument/2006/relationships/hyperlink" Target="file://C:\Documents%20and%20Settings\sugeng\My%20Documents\Pedoman%20Profil%20Kes%20Kab-Kota%2013%20Feb%2008\TABEL%20LAMPIRAN%20PROFIL_RESUME1.xls#'36'!A1" TargetMode="External" /><Relationship Id="rId55" Type="http://schemas.openxmlformats.org/officeDocument/2006/relationships/hyperlink" Target="file://C:\Documents%20and%20Settings\sugeng\My%20Documents\Pedoman%20Profil%20Kes%20Kab-Kota%2013%20Feb%2008\TABEL%20LAMPIRAN%20PROFIL_RESUME1.xls#'37'!A1" TargetMode="External" /><Relationship Id="rId56" Type="http://schemas.openxmlformats.org/officeDocument/2006/relationships/hyperlink" Target="file://C:\Documents%20and%20Settings\sugeng\My%20Documents\Pedoman%20Profil%20Kes%20Kab-Kota%2013%20Feb%2008\TABEL%20LAMPIRAN%20PROFIL_RESUME1.xls#'37'!A1" TargetMode="External" /><Relationship Id="rId57" Type="http://schemas.openxmlformats.org/officeDocument/2006/relationships/hyperlink" Target="file://C:\Documents%20and%20Settings\sugeng\My%20Documents\Pedoman%20Profil%20Kes%20Kab-Kota%2013%20Feb%2008\TABEL%20LAMPIRAN%20PROFIL_RESUME1.xls#'39'!A1" TargetMode="External" /><Relationship Id="rId58" Type="http://schemas.openxmlformats.org/officeDocument/2006/relationships/hyperlink" Target="file://C:\Documents%20and%20Settings\sugeng\My%20Documents\Pedoman%20Profil%20Kes%20Kab-Kota%2013%20Feb%2008\TABEL%20LAMPIRAN%20PROFIL_RESUME1.xls#'40'!A1" TargetMode="External" /><Relationship Id="rId59" Type="http://schemas.openxmlformats.org/officeDocument/2006/relationships/hyperlink" Target="file://C:\Documents%20and%20Settings\sugeng\My%20Documents\Pedoman%20Profil%20Kes%20Kab-Kota%2013%20Feb%2008\TABEL%20LAMPIRAN%20PROFIL_RESUME1.xls#'43'!A1" TargetMode="External" /><Relationship Id="rId60" Type="http://schemas.openxmlformats.org/officeDocument/2006/relationships/hyperlink" Target="file://C:\Documents%20and%20Settings\sugeng\My%20Documents\Pedoman%20Profil%20Kes%20Kab-Kota%2013%20Feb%2008\TABEL%20LAMPIRAN%20PROFIL_RESUME1.xls#'45'!A1" TargetMode="External" /><Relationship Id="rId61" Type="http://schemas.openxmlformats.org/officeDocument/2006/relationships/hyperlink" Target="file://C:\Documents%20and%20Settings\sugeng\My%20Documents\Pedoman%20Profil%20Kes%20Kab-Kota%2013%20Feb%2008\TABEL%20LAMPIRAN%20PROFIL_RESUME1.xls#'46'!A1" TargetMode="External" /><Relationship Id="rId62" Type="http://schemas.openxmlformats.org/officeDocument/2006/relationships/hyperlink" Target="file://C:\Documents%20and%20Settings\sugeng\My%20Documents\Pedoman%20Profil%20Kes%20Kab-Kota%2013%20Feb%2008\TABEL%20LAMPIRAN%20PROFIL_RESUME1.xls#'47'!A1" TargetMode="External" /><Relationship Id="rId63" Type="http://schemas.openxmlformats.org/officeDocument/2006/relationships/hyperlink" Target="file://C:\Documents%20and%20Settings\sugeng\My%20Documents\Pedoman%20Profil%20Kes%20Kab-Kota%2013%20Feb%2008\TABEL%20LAMPIRAN%20PROFIL_RESUME1.xls#'47'!A1" TargetMode="External" /><Relationship Id="rId64" Type="http://schemas.openxmlformats.org/officeDocument/2006/relationships/hyperlink" Target="file://C:\Documents%20and%20Settings\sugeng\My%20Documents\Pedoman%20Profil%20Kes%20Kab-Kota%2013%20Feb%2008\TABEL%20LAMPIRAN%20PROFIL_RESUME1.xls#'48'!A1" TargetMode="External" /><Relationship Id="rId65" Type="http://schemas.openxmlformats.org/officeDocument/2006/relationships/hyperlink" Target="file://C:\Documents%20and%20Settings\sugeng\My%20Documents\Pedoman%20Profil%20Kes%20Kab-Kota%2013%20Feb%2008\TABEL%20LAMPIRAN%20PROFIL_RESUME1.xls#'48'!A1" TargetMode="External" /><Relationship Id="rId66" Type="http://schemas.openxmlformats.org/officeDocument/2006/relationships/hyperlink" Target="file://C:\Documents%20and%20Settings\sugeng\My%20Documents\Pedoman%20Profil%20Kes%20Kab-Kota%2013%20Feb%2008\TABEL%20LAMPIRAN%20PROFIL_RESUME1.xls#'49'!A1" TargetMode="External" /><Relationship Id="rId67" Type="http://schemas.openxmlformats.org/officeDocument/2006/relationships/hyperlink" Target="file://C:\Documents%20and%20Settings\sugeng\My%20Documents\Pedoman%20Profil%20Kes%20Kab-Kota%2013%20Feb%2008\TABEL%20LAMPIRAN%20PROFIL_RESUME1.xls#'49'!A1" TargetMode="External" /><Relationship Id="rId68" Type="http://schemas.openxmlformats.org/officeDocument/2006/relationships/hyperlink" Target="file://C:\Documents%20and%20Settings\sugeng\My%20Documents\Pedoman%20Profil%20Kes%20Kab-Kota%2013%20Feb%2008\TABEL%20LAMPIRAN%20PROFIL_RESUME1.xls#'50'!A1" TargetMode="External" /><Relationship Id="rId69" Type="http://schemas.openxmlformats.org/officeDocument/2006/relationships/hyperlink" Target="file://C:\Documents%20and%20Settings\sugeng\My%20Documents\Pedoman%20Profil%20Kes%20Kab-Kota%2013%20Feb%2008\TABEL%20LAMPIRAN%20PROFIL_RESUME1.xls#'51'!A1" TargetMode="External" /><Relationship Id="rId70" Type="http://schemas.openxmlformats.org/officeDocument/2006/relationships/hyperlink" Target="file://C:\Documents%20and%20Settings\sugeng\My%20Documents\Pedoman%20Profil%20Kes%20Kab-Kota%2013%20Feb%2008\TABEL%20LAMPIRAN%20PROFIL_RESUME1.xls#'52'!A1" TargetMode="External" /><Relationship Id="rId71" Type="http://schemas.openxmlformats.org/officeDocument/2006/relationships/hyperlink" Target="file://C:\Documents%20and%20Settings\sugeng\My%20Documents\Pedoman%20Profil%20Kes%20Kab-Kota%2013%20Feb%2008\TABEL%20LAMPIRAN%20PROFIL_RESUME1.xls#'52'!A1" TargetMode="External" /><Relationship Id="rId72" Type="http://schemas.openxmlformats.org/officeDocument/2006/relationships/hyperlink" Target="file://C:\Documents%20and%20Settings\sugeng\My%20Documents\Pedoman%20Profil%20Kes%20Kab-Kota%2013%20Feb%2008\TABEL%20LAMPIRAN%20PROFIL_RESUME1.xls#'53'!A1" TargetMode="External" /><Relationship Id="rId73" Type="http://schemas.openxmlformats.org/officeDocument/2006/relationships/hyperlink" Target="file://C:\Documents%20and%20Settings\sugeng\My%20Documents\Pedoman%20Profil%20Kes%20Kab-Kota%2013%20Feb%2008\TABEL%20LAMPIRAN%20PROFIL_RESUME1.xls#'53'!A1" TargetMode="External" /><Relationship Id="rId74" Type="http://schemas.openxmlformats.org/officeDocument/2006/relationships/hyperlink" Target="file://C:\Documents%20and%20Settings\sugeng\My%20Documents\Pedoman%20Profil%20Kes%20Kab-Kota%2013%20Feb%2008\TABEL%20LAMPIRAN%20PROFIL_RESUME1.xls#'55'!A1" TargetMode="External" /><Relationship Id="rId75" Type="http://schemas.openxmlformats.org/officeDocument/2006/relationships/hyperlink" Target="file://C:\Documents%20and%20Settings\sugeng\My%20Documents\Pedoman%20Profil%20Kes%20Kab-Kota%2013%20Feb%2008\TABEL%20LAMPIRAN%20PROFIL_RESUME1.xls#'55'!A1" TargetMode="External" /><Relationship Id="rId76" Type="http://schemas.openxmlformats.org/officeDocument/2006/relationships/hyperlink" Target="file://C:\Documents%20and%20Settings\sugeng\My%20Documents\Pedoman%20Profil%20Kes%20Kab-Kota%2013%20Feb%2008\TABEL%20LAMPIRAN%20PROFIL_RESUME1.xls#'60'!A1" TargetMode="External" /><Relationship Id="rId77" Type="http://schemas.openxmlformats.org/officeDocument/2006/relationships/hyperlink" Target="file://C:\Documents%20and%20Settings\sugeng\My%20Documents\Pedoman%20Profil%20Kes%20Kab-Kota%2013%20Feb%2008\TABEL%20LAMPIRAN%20PROFIL_RESUME1.xls#'60'!A1" TargetMode="External" /><Relationship Id="rId78" Type="http://schemas.openxmlformats.org/officeDocument/2006/relationships/hyperlink" Target="file://C:\Documents%20and%20Settings\sugeng\My%20Documents\Pedoman%20Profil%20Kes%20Kab-Kota%2013%20Feb%2008\TABEL%20LAMPIRAN%20PROFIL_RESUME1.xls#'62'!A1" TargetMode="External" /><Relationship Id="rId79" Type="http://schemas.openxmlformats.org/officeDocument/2006/relationships/hyperlink" Target="file://C:\Documents%20and%20Settings\sugeng\My%20Documents\Pedoman%20Profil%20Kes%20Kab-Kota%2013%20Feb%2008\TABEL%20LAMPIRAN%20PROFIL_RESUME1.xls#'62'!A1" TargetMode="External" /><Relationship Id="rId80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view="pageBreakPreview" zoomScaleSheetLayoutView="100" workbookViewId="0" topLeftCell="A1">
      <selection activeCell="G1" sqref="G1"/>
    </sheetView>
  </sheetViews>
  <sheetFormatPr defaultColWidth="9.140625" defaultRowHeight="12.75"/>
  <cols>
    <col min="1" max="1" width="4.8515625" style="404" customWidth="1"/>
    <col min="2" max="2" width="47.57421875" style="404" customWidth="1"/>
    <col min="3" max="3" width="18.140625" style="405" customWidth="1"/>
    <col min="4" max="4" width="9.8515625" style="405" customWidth="1"/>
    <col min="5" max="5" width="17.421875" style="402" customWidth="1"/>
    <col min="6" max="6" width="5.7109375" style="407" customWidth="1"/>
    <col min="7" max="7" width="33.8515625" style="407" customWidth="1"/>
    <col min="8" max="8" width="12.00390625" style="407" customWidth="1"/>
    <col min="9" max="9" width="6.28125" style="407" customWidth="1"/>
    <col min="10" max="16384" width="9.140625" style="404" customWidth="1"/>
  </cols>
  <sheetData>
    <row r="1" spans="1:9" ht="14.25">
      <c r="A1" s="628" t="s">
        <v>573</v>
      </c>
      <c r="B1" s="628"/>
      <c r="C1" s="628"/>
      <c r="D1" s="628"/>
      <c r="E1" s="628"/>
      <c r="F1" s="403"/>
      <c r="G1" s="403"/>
      <c r="H1" s="403"/>
      <c r="I1" s="403"/>
    </row>
    <row r="2" spans="1:6" ht="14.25">
      <c r="A2" s="628" t="s">
        <v>952</v>
      </c>
      <c r="B2" s="628"/>
      <c r="C2" s="628"/>
      <c r="D2" s="628"/>
      <c r="E2" s="628"/>
      <c r="F2" s="406"/>
    </row>
    <row r="3" spans="1:6" ht="14.25">
      <c r="A3" s="628" t="s">
        <v>953</v>
      </c>
      <c r="B3" s="628"/>
      <c r="C3" s="628"/>
      <c r="D3" s="628"/>
      <c r="E3" s="628"/>
      <c r="F3" s="406"/>
    </row>
    <row r="5" spans="1:5" ht="15" customHeight="1">
      <c r="A5" s="453" t="s">
        <v>2</v>
      </c>
      <c r="B5" s="454" t="s">
        <v>574</v>
      </c>
      <c r="C5" s="629" t="s">
        <v>575</v>
      </c>
      <c r="D5" s="630"/>
      <c r="E5" s="454" t="s">
        <v>708</v>
      </c>
    </row>
    <row r="6" spans="1:5" ht="15" customHeight="1">
      <c r="A6" s="408"/>
      <c r="B6" s="409"/>
      <c r="C6" s="410"/>
      <c r="D6" s="409"/>
      <c r="E6" s="409"/>
    </row>
    <row r="7" spans="1:5" ht="15">
      <c r="A7" s="411" t="s">
        <v>739</v>
      </c>
      <c r="B7" s="412" t="s">
        <v>740</v>
      </c>
      <c r="C7" s="413"/>
      <c r="D7" s="414"/>
      <c r="E7" s="415"/>
    </row>
    <row r="8" spans="1:5" ht="16.5">
      <c r="A8" s="416">
        <v>1</v>
      </c>
      <c r="B8" s="417" t="s">
        <v>596</v>
      </c>
      <c r="C8" s="418">
        <f>1!C27</f>
        <v>153948</v>
      </c>
      <c r="D8" s="419" t="s">
        <v>827</v>
      </c>
      <c r="E8" s="420" t="s">
        <v>745</v>
      </c>
    </row>
    <row r="9" spans="1:5" ht="14.25">
      <c r="A9" s="416">
        <v>2</v>
      </c>
      <c r="B9" s="417" t="s">
        <v>577</v>
      </c>
      <c r="C9" s="605">
        <f>1!F27</f>
        <v>1495</v>
      </c>
      <c r="D9" s="419" t="s">
        <v>639</v>
      </c>
      <c r="E9" s="420" t="s">
        <v>745</v>
      </c>
    </row>
    <row r="10" spans="1:5" ht="14.25">
      <c r="A10" s="416">
        <v>3</v>
      </c>
      <c r="B10" s="417" t="s">
        <v>576</v>
      </c>
      <c r="C10" s="605">
        <f>1!G27</f>
        <v>2183668</v>
      </c>
      <c r="D10" s="419" t="s">
        <v>597</v>
      </c>
      <c r="E10" s="420" t="s">
        <v>745</v>
      </c>
    </row>
    <row r="11" spans="1:5" ht="16.5">
      <c r="A11" s="416">
        <v>4</v>
      </c>
      <c r="B11" s="417" t="s">
        <v>828</v>
      </c>
      <c r="C11" s="604">
        <f>1!J27</f>
        <v>14.184451892846935</v>
      </c>
      <c r="D11" s="419" t="s">
        <v>829</v>
      </c>
      <c r="E11" s="420" t="s">
        <v>745</v>
      </c>
    </row>
    <row r="12" spans="1:5" ht="14.25">
      <c r="A12" s="416">
        <v>5</v>
      </c>
      <c r="B12" s="417" t="s">
        <v>578</v>
      </c>
      <c r="C12" s="418">
        <f>2!J28</f>
        <v>1119512</v>
      </c>
      <c r="D12" s="419" t="s">
        <v>597</v>
      </c>
      <c r="E12" s="420" t="s">
        <v>746</v>
      </c>
    </row>
    <row r="13" spans="1:5" ht="14.25">
      <c r="A13" s="416">
        <v>6</v>
      </c>
      <c r="B13" s="417" t="s">
        <v>579</v>
      </c>
      <c r="C13" s="418">
        <f>2!Q28</f>
        <v>1064156</v>
      </c>
      <c r="D13" s="419" t="s">
        <v>597</v>
      </c>
      <c r="E13" s="420" t="s">
        <v>746</v>
      </c>
    </row>
    <row r="14" spans="1:5" ht="14.25">
      <c r="A14" s="416">
        <v>7</v>
      </c>
      <c r="B14" s="417" t="s">
        <v>580</v>
      </c>
      <c r="C14" s="423">
        <f>2!R28</f>
        <v>52.19171265404435</v>
      </c>
      <c r="D14" s="414"/>
      <c r="E14" s="420" t="s">
        <v>746</v>
      </c>
    </row>
    <row r="15" spans="1:5" ht="14.25">
      <c r="A15" s="416">
        <v>8</v>
      </c>
      <c r="B15" s="417" t="s">
        <v>581</v>
      </c>
      <c r="C15" s="423">
        <f>2!S28</f>
        <v>105.20186889892082</v>
      </c>
      <c r="D15" s="414"/>
      <c r="E15" s="420" t="s">
        <v>746</v>
      </c>
    </row>
    <row r="16" spans="1:5" ht="14.25">
      <c r="A16" s="416">
        <v>9</v>
      </c>
      <c r="B16" s="417" t="s">
        <v>598</v>
      </c>
      <c r="C16" s="423">
        <f>5!K26</f>
        <v>32.20238553930808</v>
      </c>
      <c r="D16" s="419" t="s">
        <v>27</v>
      </c>
      <c r="E16" s="420" t="s">
        <v>747</v>
      </c>
    </row>
    <row r="17" spans="1:5" ht="14.25">
      <c r="A17" s="416">
        <v>10</v>
      </c>
      <c r="B17" s="417" t="s">
        <v>599</v>
      </c>
      <c r="C17" s="423">
        <f>5!E26</f>
        <v>32.01045125380181</v>
      </c>
      <c r="D17" s="419" t="s">
        <v>27</v>
      </c>
      <c r="E17" s="420" t="s">
        <v>747</v>
      </c>
    </row>
    <row r="18" spans="1:5" ht="14.25">
      <c r="A18" s="416">
        <v>11</v>
      </c>
      <c r="B18" s="417" t="s">
        <v>600</v>
      </c>
      <c r="C18" s="423">
        <f>5!H26</f>
        <v>32.40037318405971</v>
      </c>
      <c r="D18" s="419" t="s">
        <v>27</v>
      </c>
      <c r="E18" s="420" t="s">
        <v>747</v>
      </c>
    </row>
    <row r="19" spans="1:5" ht="14.25">
      <c r="A19" s="416"/>
      <c r="B19" s="417"/>
      <c r="C19" s="413"/>
      <c r="D19" s="419"/>
      <c r="E19" s="415"/>
    </row>
    <row r="20" spans="1:5" ht="15">
      <c r="A20" s="411" t="s">
        <v>741</v>
      </c>
      <c r="B20" s="412" t="s">
        <v>742</v>
      </c>
      <c r="C20" s="413"/>
      <c r="D20" s="419"/>
      <c r="E20" s="415"/>
    </row>
    <row r="21" spans="1:5" ht="15">
      <c r="A21" s="411" t="s">
        <v>743</v>
      </c>
      <c r="B21" s="412" t="s">
        <v>744</v>
      </c>
      <c r="C21" s="413"/>
      <c r="D21" s="419"/>
      <c r="E21" s="415"/>
    </row>
    <row r="22" spans="1:5" ht="14.25">
      <c r="A22" s="416">
        <v>12</v>
      </c>
      <c r="B22" s="417" t="s">
        <v>601</v>
      </c>
      <c r="C22" s="605">
        <f>6!C26</f>
        <v>47467</v>
      </c>
      <c r="D22" s="419" t="s">
        <v>605</v>
      </c>
      <c r="E22" s="420" t="s">
        <v>750</v>
      </c>
    </row>
    <row r="23" spans="1:5" ht="14.25">
      <c r="A23" s="416">
        <v>13</v>
      </c>
      <c r="B23" s="417" t="s">
        <v>602</v>
      </c>
      <c r="C23" s="418">
        <f>6!G26</f>
        <v>352</v>
      </c>
      <c r="D23" s="419" t="s">
        <v>605</v>
      </c>
      <c r="E23" s="420" t="s">
        <v>750</v>
      </c>
    </row>
    <row r="24" spans="1:5" ht="14.25">
      <c r="A24" s="416">
        <v>14</v>
      </c>
      <c r="B24" s="417" t="s">
        <v>582</v>
      </c>
      <c r="C24" s="423">
        <f>6!G27</f>
        <v>7.415678260686372</v>
      </c>
      <c r="D24" s="419"/>
      <c r="E24" s="420" t="s">
        <v>750</v>
      </c>
    </row>
    <row r="25" spans="1:5" ht="14.25">
      <c r="A25" s="416">
        <v>15</v>
      </c>
      <c r="B25" s="417" t="s">
        <v>603</v>
      </c>
      <c r="C25" s="418">
        <f>6!I26</f>
        <v>187</v>
      </c>
      <c r="D25" s="419" t="s">
        <v>606</v>
      </c>
      <c r="E25" s="420" t="s">
        <v>750</v>
      </c>
    </row>
    <row r="26" spans="1:5" ht="14.25">
      <c r="A26" s="416">
        <v>16</v>
      </c>
      <c r="B26" s="417" t="s">
        <v>583</v>
      </c>
      <c r="C26" s="423">
        <f>6!I27</f>
        <v>3.939579075989635</v>
      </c>
      <c r="D26" s="419"/>
      <c r="E26" s="420" t="s">
        <v>750</v>
      </c>
    </row>
    <row r="27" spans="1:5" ht="14.25">
      <c r="A27" s="416">
        <v>17</v>
      </c>
      <c r="B27" s="417" t="s">
        <v>604</v>
      </c>
      <c r="C27" s="418">
        <f>7!G25</f>
        <v>74</v>
      </c>
      <c r="D27" s="419" t="s">
        <v>607</v>
      </c>
      <c r="E27" s="420" t="s">
        <v>751</v>
      </c>
    </row>
    <row r="28" spans="1:5" ht="14.25">
      <c r="A28" s="416">
        <v>18</v>
      </c>
      <c r="B28" s="417" t="s">
        <v>584</v>
      </c>
      <c r="C28" s="423">
        <f>7!G26</f>
        <v>155.89778161670213</v>
      </c>
      <c r="D28" s="419"/>
      <c r="E28" s="420" t="s">
        <v>751</v>
      </c>
    </row>
    <row r="29" spans="1:5" ht="14.25">
      <c r="A29" s="416"/>
      <c r="B29" s="417"/>
      <c r="C29" s="413"/>
      <c r="D29" s="419"/>
      <c r="E29" s="420"/>
    </row>
    <row r="30" spans="1:5" ht="15">
      <c r="A30" s="411" t="s">
        <v>748</v>
      </c>
      <c r="B30" s="412" t="s">
        <v>749</v>
      </c>
      <c r="C30" s="413"/>
      <c r="D30" s="419"/>
      <c r="E30" s="415"/>
    </row>
    <row r="31" spans="1:5" ht="14.25">
      <c r="A31" s="416">
        <v>19</v>
      </c>
      <c r="B31" s="417" t="s">
        <v>608</v>
      </c>
      <c r="C31" s="421">
        <f>9!C26</f>
        <v>0.8928212705739501</v>
      </c>
      <c r="D31" s="422"/>
      <c r="E31" s="420" t="s">
        <v>754</v>
      </c>
    </row>
    <row r="32" spans="1:5" ht="14.25">
      <c r="A32" s="416">
        <v>20</v>
      </c>
      <c r="B32" s="417" t="s">
        <v>612</v>
      </c>
      <c r="C32" s="421">
        <f>9!H25</f>
        <v>82.50591016548464</v>
      </c>
      <c r="D32" s="419" t="s">
        <v>27</v>
      </c>
      <c r="E32" s="420" t="s">
        <v>754</v>
      </c>
    </row>
    <row r="33" spans="1:5" ht="14.25">
      <c r="A33" s="416">
        <v>21</v>
      </c>
      <c r="B33" s="417" t="s">
        <v>585</v>
      </c>
      <c r="C33" s="423">
        <f>9!L25</f>
        <v>93.87242591662482</v>
      </c>
      <c r="D33" s="419" t="s">
        <v>27</v>
      </c>
      <c r="E33" s="420" t="s">
        <v>754</v>
      </c>
    </row>
    <row r="34" spans="1:5" ht="14.25">
      <c r="A34" s="416">
        <v>22</v>
      </c>
      <c r="B34" s="417" t="s">
        <v>586</v>
      </c>
      <c r="C34" s="413">
        <f>'10'!E25</f>
        <v>48</v>
      </c>
      <c r="D34" s="419" t="s">
        <v>27</v>
      </c>
      <c r="E34" s="420" t="s">
        <v>755</v>
      </c>
    </row>
    <row r="35" spans="1:5" ht="14.25">
      <c r="A35" s="416">
        <v>23</v>
      </c>
      <c r="B35" s="417" t="s">
        <v>609</v>
      </c>
      <c r="C35" s="423">
        <f>'10'!H25</f>
        <v>95.63106796116504</v>
      </c>
      <c r="D35" s="419" t="s">
        <v>27</v>
      </c>
      <c r="E35" s="420" t="s">
        <v>755</v>
      </c>
    </row>
    <row r="36" spans="1:5" ht="14.25">
      <c r="A36" s="416">
        <v>24</v>
      </c>
      <c r="B36" s="417" t="s">
        <v>587</v>
      </c>
      <c r="C36" s="421">
        <f>'10'!I26</f>
        <v>60.99828362186926</v>
      </c>
      <c r="D36" s="422"/>
      <c r="E36" s="420" t="s">
        <v>755</v>
      </c>
    </row>
    <row r="37" spans="1:5" ht="14.25">
      <c r="A37" s="416">
        <v>25</v>
      </c>
      <c r="B37" s="417" t="s">
        <v>610</v>
      </c>
      <c r="C37" s="421">
        <f>'10'!K25</f>
        <v>99.32432432432432</v>
      </c>
      <c r="D37" s="419" t="s">
        <v>27</v>
      </c>
      <c r="E37" s="420" t="s">
        <v>755</v>
      </c>
    </row>
    <row r="38" spans="1:5" ht="14.25">
      <c r="A38" s="416">
        <v>26</v>
      </c>
      <c r="B38" s="417" t="s">
        <v>591</v>
      </c>
      <c r="C38" s="423">
        <f>'10'!L26</f>
        <v>30.617749584643818</v>
      </c>
      <c r="D38" s="419"/>
      <c r="E38" s="420" t="s">
        <v>755</v>
      </c>
    </row>
    <row r="39" spans="1:5" ht="14.25">
      <c r="A39" s="416">
        <v>27</v>
      </c>
      <c r="B39" s="417" t="s">
        <v>611</v>
      </c>
      <c r="C39" s="423">
        <f>'10'!O25</f>
        <v>97.15484385617631</v>
      </c>
      <c r="D39" s="419" t="s">
        <v>27</v>
      </c>
      <c r="E39" s="420" t="s">
        <v>755</v>
      </c>
    </row>
    <row r="40" spans="1:5" ht="14.25">
      <c r="A40" s="416">
        <v>28</v>
      </c>
      <c r="B40" s="417" t="s">
        <v>592</v>
      </c>
      <c r="C40" s="423">
        <f>'11'!C26</f>
        <v>17.09921105222955</v>
      </c>
      <c r="D40" s="424"/>
      <c r="E40" s="420" t="s">
        <v>756</v>
      </c>
    </row>
    <row r="41" spans="1:5" ht="14.25">
      <c r="A41" s="416">
        <v>29</v>
      </c>
      <c r="B41" s="417" t="s">
        <v>593</v>
      </c>
      <c r="C41" s="423">
        <f>'12'!E25</f>
        <v>90.9090909090909</v>
      </c>
      <c r="D41" s="419" t="s">
        <v>27</v>
      </c>
      <c r="E41" s="420" t="s">
        <v>757</v>
      </c>
    </row>
    <row r="42" spans="1:5" ht="14.25">
      <c r="A42" s="416">
        <v>30</v>
      </c>
      <c r="B42" s="417" t="s">
        <v>594</v>
      </c>
      <c r="C42" s="423">
        <f>'12'!H25</f>
        <v>57.142857142857146</v>
      </c>
      <c r="D42" s="419" t="s">
        <v>27</v>
      </c>
      <c r="E42" s="420" t="s">
        <v>757</v>
      </c>
    </row>
    <row r="43" spans="1:5" ht="14.25">
      <c r="A43" s="416">
        <v>31</v>
      </c>
      <c r="B43" s="417" t="s">
        <v>595</v>
      </c>
      <c r="C43" s="425">
        <f>'13'!E25</f>
        <v>94.25837320574163</v>
      </c>
      <c r="D43" s="419" t="s">
        <v>27</v>
      </c>
      <c r="E43" s="420" t="s">
        <v>758</v>
      </c>
    </row>
    <row r="44" spans="1:5" ht="14.25">
      <c r="A44" s="416">
        <v>32</v>
      </c>
      <c r="B44" s="417" t="s">
        <v>613</v>
      </c>
      <c r="C44" s="425">
        <f>'14'!C25</f>
        <v>1</v>
      </c>
      <c r="D44" s="419" t="s">
        <v>620</v>
      </c>
      <c r="E44" s="420" t="s">
        <v>759</v>
      </c>
    </row>
    <row r="45" spans="1:5" ht="14.25">
      <c r="A45" s="416">
        <v>33</v>
      </c>
      <c r="B45" s="417" t="s">
        <v>614</v>
      </c>
      <c r="C45" s="425">
        <f>'14'!D25</f>
        <v>7</v>
      </c>
      <c r="D45" s="419" t="s">
        <v>620</v>
      </c>
      <c r="E45" s="420" t="s">
        <v>759</v>
      </c>
    </row>
    <row r="46" spans="1:6" ht="14.25">
      <c r="A46" s="416">
        <v>34</v>
      </c>
      <c r="B46" s="417" t="s">
        <v>615</v>
      </c>
      <c r="C46" s="425">
        <f>'14'!E25</f>
        <v>0</v>
      </c>
      <c r="D46" s="419" t="s">
        <v>620</v>
      </c>
      <c r="E46" s="420" t="s">
        <v>759</v>
      </c>
      <c r="F46" s="426"/>
    </row>
    <row r="47" spans="1:6" ht="14.25">
      <c r="A47" s="416">
        <v>35</v>
      </c>
      <c r="B47" s="417" t="s">
        <v>616</v>
      </c>
      <c r="C47" s="425">
        <f>'14'!F25</f>
        <v>3</v>
      </c>
      <c r="D47" s="419" t="s">
        <v>620</v>
      </c>
      <c r="E47" s="420" t="s">
        <v>759</v>
      </c>
      <c r="F47" s="426"/>
    </row>
    <row r="48" spans="1:6" ht="14.25">
      <c r="A48" s="416">
        <v>36</v>
      </c>
      <c r="B48" s="417" t="s">
        <v>617</v>
      </c>
      <c r="C48" s="425">
        <f>'14'!G25</f>
        <v>306</v>
      </c>
      <c r="D48" s="419" t="s">
        <v>620</v>
      </c>
      <c r="E48" s="420" t="s">
        <v>759</v>
      </c>
      <c r="F48" s="426"/>
    </row>
    <row r="49" spans="1:6" ht="14.25">
      <c r="A49" s="416">
        <v>37</v>
      </c>
      <c r="B49" s="417" t="s">
        <v>618</v>
      </c>
      <c r="C49" s="425">
        <f>'14'!H25</f>
        <v>1</v>
      </c>
      <c r="D49" s="419" t="s">
        <v>620</v>
      </c>
      <c r="E49" s="420" t="s">
        <v>759</v>
      </c>
      <c r="F49" s="426"/>
    </row>
    <row r="50" spans="1:6" ht="14.25">
      <c r="A50" s="433">
        <v>38</v>
      </c>
      <c r="B50" s="434" t="s">
        <v>619</v>
      </c>
      <c r="C50" s="441">
        <f>'14'!I25</f>
        <v>61</v>
      </c>
      <c r="D50" s="442" t="s">
        <v>620</v>
      </c>
      <c r="E50" s="443" t="s">
        <v>759</v>
      </c>
      <c r="F50" s="426"/>
    </row>
    <row r="51" spans="1:6" ht="14.25">
      <c r="A51" s="416"/>
      <c r="B51" s="417"/>
      <c r="C51" s="425"/>
      <c r="D51" s="419"/>
      <c r="E51" s="420"/>
      <c r="F51" s="426"/>
    </row>
    <row r="52" spans="1:6" ht="15">
      <c r="A52" s="411" t="s">
        <v>752</v>
      </c>
      <c r="B52" s="412" t="s">
        <v>753</v>
      </c>
      <c r="C52" s="425"/>
      <c r="D52" s="419"/>
      <c r="E52" s="427"/>
      <c r="F52" s="426"/>
    </row>
    <row r="53" spans="1:6" ht="14.25">
      <c r="A53" s="416">
        <v>39</v>
      </c>
      <c r="B53" s="417" t="s">
        <v>621</v>
      </c>
      <c r="C53" s="421">
        <f>'15'!E26</f>
        <v>80.4233806070475</v>
      </c>
      <c r="D53" s="419" t="s">
        <v>27</v>
      </c>
      <c r="E53" s="428" t="s">
        <v>764</v>
      </c>
      <c r="F53" s="426"/>
    </row>
    <row r="54" spans="1:6" ht="14.25">
      <c r="A54" s="416">
        <v>40</v>
      </c>
      <c r="B54" s="417" t="s">
        <v>622</v>
      </c>
      <c r="C54" s="421">
        <f>'15'!H26</f>
        <v>81.5958541177384</v>
      </c>
      <c r="D54" s="419" t="s">
        <v>27</v>
      </c>
      <c r="E54" s="428" t="s">
        <v>764</v>
      </c>
      <c r="F54" s="426"/>
    </row>
    <row r="55" spans="1:6" ht="14.25">
      <c r="A55" s="416">
        <v>41</v>
      </c>
      <c r="B55" s="417" t="s">
        <v>623</v>
      </c>
      <c r="C55" s="421">
        <f>'15'!M26</f>
        <v>1.5060240963855422</v>
      </c>
      <c r="D55" s="419" t="s">
        <v>27</v>
      </c>
      <c r="E55" s="428" t="s">
        <v>764</v>
      </c>
      <c r="F55" s="426"/>
    </row>
    <row r="56" spans="1:6" ht="14.25">
      <c r="A56" s="416">
        <v>42</v>
      </c>
      <c r="B56" s="417" t="s">
        <v>624</v>
      </c>
      <c r="C56" s="423">
        <f>'15'!O26</f>
        <v>98.30985915492958</v>
      </c>
      <c r="D56" s="419" t="s">
        <v>27</v>
      </c>
      <c r="E56" s="428" t="s">
        <v>764</v>
      </c>
      <c r="F56" s="426"/>
    </row>
    <row r="57" spans="1:6" ht="14.25">
      <c r="A57" s="416">
        <v>43</v>
      </c>
      <c r="B57" s="417" t="s">
        <v>627</v>
      </c>
      <c r="C57" s="421">
        <f>'16'!H25</f>
        <v>54.06684341993604</v>
      </c>
      <c r="D57" s="419" t="s">
        <v>27</v>
      </c>
      <c r="E57" s="428" t="s">
        <v>765</v>
      </c>
      <c r="F57" s="426"/>
    </row>
    <row r="58" spans="1:5" ht="14.25">
      <c r="A58" s="416">
        <v>44</v>
      </c>
      <c r="B58" s="417" t="s">
        <v>626</v>
      </c>
      <c r="C58" s="421">
        <f>'16'!I25</f>
        <v>76.63761073325588</v>
      </c>
      <c r="D58" s="419" t="s">
        <v>27</v>
      </c>
      <c r="E58" s="428" t="s">
        <v>765</v>
      </c>
    </row>
    <row r="59" spans="1:5" ht="14.25">
      <c r="A59" s="416">
        <v>45</v>
      </c>
      <c r="B59" s="417" t="s">
        <v>24</v>
      </c>
      <c r="C59" s="421">
        <f>'16'!J25</f>
        <v>6.160271701057896</v>
      </c>
      <c r="D59" s="419" t="s">
        <v>27</v>
      </c>
      <c r="E59" s="428" t="s">
        <v>765</v>
      </c>
    </row>
    <row r="60" spans="1:5" ht="14.25">
      <c r="A60" s="416">
        <v>46</v>
      </c>
      <c r="B60" s="417" t="s">
        <v>625</v>
      </c>
      <c r="C60" s="421">
        <f>'16'!K25</f>
        <v>0.5524469943513847</v>
      </c>
      <c r="D60" s="419" t="s">
        <v>27</v>
      </c>
      <c r="E60" s="428" t="s">
        <v>765</v>
      </c>
    </row>
    <row r="61" spans="1:5" ht="14.25">
      <c r="A61" s="416"/>
      <c r="B61" s="417"/>
      <c r="C61" s="421"/>
      <c r="D61" s="419"/>
      <c r="E61" s="415"/>
    </row>
    <row r="62" spans="1:5" ht="15">
      <c r="A62" s="411" t="s">
        <v>760</v>
      </c>
      <c r="B62" s="412" t="s">
        <v>761</v>
      </c>
      <c r="C62" s="421"/>
      <c r="D62" s="419"/>
      <c r="E62" s="415"/>
    </row>
    <row r="63" spans="1:5" ht="15">
      <c r="A63" s="411" t="s">
        <v>762</v>
      </c>
      <c r="B63" s="412" t="s">
        <v>763</v>
      </c>
      <c r="C63" s="421"/>
      <c r="D63" s="419"/>
      <c r="E63" s="415"/>
    </row>
    <row r="64" spans="1:5" ht="14.25">
      <c r="A64" s="416">
        <v>47</v>
      </c>
      <c r="B64" s="417" t="s">
        <v>628</v>
      </c>
      <c r="C64" s="423">
        <f>'17'!E26</f>
        <v>91.77338720723188</v>
      </c>
      <c r="D64" s="419" t="s">
        <v>27</v>
      </c>
      <c r="E64" s="428" t="s">
        <v>768</v>
      </c>
    </row>
    <row r="65" spans="1:5" ht="14.25">
      <c r="A65" s="416">
        <v>48</v>
      </c>
      <c r="B65" s="417" t="s">
        <v>629</v>
      </c>
      <c r="C65" s="421">
        <f>'17'!G26</f>
        <v>80.65333515956719</v>
      </c>
      <c r="D65" s="419" t="s">
        <v>27</v>
      </c>
      <c r="E65" s="428" t="s">
        <v>768</v>
      </c>
    </row>
    <row r="66" spans="1:5" ht="14.25">
      <c r="A66" s="416">
        <v>49</v>
      </c>
      <c r="B66" s="417" t="s">
        <v>630</v>
      </c>
      <c r="C66" s="421">
        <f>'17'!J26</f>
        <v>79.11539438818106</v>
      </c>
      <c r="D66" s="419" t="s">
        <v>27</v>
      </c>
      <c r="E66" s="428" t="s">
        <v>768</v>
      </c>
    </row>
    <row r="67" spans="1:5" ht="14.25">
      <c r="A67" s="416">
        <v>50</v>
      </c>
      <c r="B67" s="417" t="s">
        <v>631</v>
      </c>
      <c r="C67" s="421">
        <f>'18'!E26</f>
        <v>43.216404436419914</v>
      </c>
      <c r="D67" s="419" t="s">
        <v>27</v>
      </c>
      <c r="E67" s="428" t="s">
        <v>769</v>
      </c>
    </row>
    <row r="68" spans="1:5" ht="14.25">
      <c r="A68" s="416">
        <v>51</v>
      </c>
      <c r="B68" s="417" t="s">
        <v>632</v>
      </c>
      <c r="C68" s="421">
        <f>'18'!H26</f>
        <v>29.793563508518883</v>
      </c>
      <c r="D68" s="419" t="s">
        <v>27</v>
      </c>
      <c r="E68" s="428" t="s">
        <v>769</v>
      </c>
    </row>
    <row r="69" spans="1:5" ht="14.25">
      <c r="A69" s="416">
        <v>52</v>
      </c>
      <c r="B69" s="417" t="s">
        <v>633</v>
      </c>
      <c r="C69" s="421">
        <f>'18'!K26</f>
        <v>46.98371644020254</v>
      </c>
      <c r="D69" s="419" t="s">
        <v>27</v>
      </c>
      <c r="E69" s="428" t="s">
        <v>769</v>
      </c>
    </row>
    <row r="70" spans="1:5" ht="14.25">
      <c r="A70" s="416">
        <v>53</v>
      </c>
      <c r="B70" s="417" t="s">
        <v>634</v>
      </c>
      <c r="C70" s="421">
        <f>'19'!E25</f>
        <v>15.522642741924733</v>
      </c>
      <c r="D70" s="419" t="s">
        <v>27</v>
      </c>
      <c r="E70" s="428" t="s">
        <v>770</v>
      </c>
    </row>
    <row r="71" spans="1:5" ht="14.25">
      <c r="A71" s="416">
        <v>54</v>
      </c>
      <c r="B71" s="417" t="s">
        <v>635</v>
      </c>
      <c r="C71" s="423">
        <f>'19'!G25</f>
        <v>74.01277111967259</v>
      </c>
      <c r="D71" s="419" t="s">
        <v>27</v>
      </c>
      <c r="E71" s="428" t="s">
        <v>770</v>
      </c>
    </row>
    <row r="72" spans="1:5" ht="14.25">
      <c r="A72" s="416">
        <v>55</v>
      </c>
      <c r="B72" s="417" t="s">
        <v>636</v>
      </c>
      <c r="C72" s="413">
        <f>'20'!T26</f>
        <v>1300</v>
      </c>
      <c r="D72" s="419" t="s">
        <v>27</v>
      </c>
      <c r="E72" s="428" t="s">
        <v>771</v>
      </c>
    </row>
    <row r="73" spans="1:5" ht="14.25">
      <c r="A73" s="416">
        <v>56</v>
      </c>
      <c r="B73" s="417" t="s">
        <v>637</v>
      </c>
      <c r="C73" s="413">
        <f>'21'!T27</f>
        <v>1300</v>
      </c>
      <c r="D73" s="419" t="s">
        <v>27</v>
      </c>
      <c r="E73" s="428" t="s">
        <v>772</v>
      </c>
    </row>
    <row r="74" spans="1:5" ht="14.25">
      <c r="A74" s="416">
        <v>57</v>
      </c>
      <c r="B74" s="417" t="s">
        <v>638</v>
      </c>
      <c r="C74" s="423">
        <f>'22'!E26</f>
        <v>69.29765886287626</v>
      </c>
      <c r="D74" s="419" t="s">
        <v>27</v>
      </c>
      <c r="E74" s="428" t="s">
        <v>773</v>
      </c>
    </row>
    <row r="75" spans="1:5" ht="14.25">
      <c r="A75" s="416">
        <v>58</v>
      </c>
      <c r="B75" s="417" t="s">
        <v>640</v>
      </c>
      <c r="C75" s="421">
        <f>'23'!M28</f>
        <v>86.34537373109994</v>
      </c>
      <c r="D75" s="419" t="s">
        <v>27</v>
      </c>
      <c r="E75" s="428" t="s">
        <v>774</v>
      </c>
    </row>
    <row r="76" spans="1:5" ht="14.25">
      <c r="A76" s="416">
        <v>59</v>
      </c>
      <c r="B76" s="417" t="s">
        <v>641</v>
      </c>
      <c r="C76" s="423">
        <f>'23'!N27</f>
        <v>5.236025903203817</v>
      </c>
      <c r="D76" s="419" t="s">
        <v>27</v>
      </c>
      <c r="E76" s="428" t="s">
        <v>774</v>
      </c>
    </row>
    <row r="77" spans="1:5" ht="14.25">
      <c r="A77" s="416">
        <v>60</v>
      </c>
      <c r="B77" s="417" t="s">
        <v>642</v>
      </c>
      <c r="C77" s="423">
        <f>'24'!E25</f>
        <v>89.02974158946854</v>
      </c>
      <c r="D77" s="419" t="s">
        <v>27</v>
      </c>
      <c r="E77" s="428" t="s">
        <v>775</v>
      </c>
    </row>
    <row r="78" spans="1:5" ht="14.25">
      <c r="A78" s="416">
        <v>61</v>
      </c>
      <c r="B78" s="417" t="s">
        <v>643</v>
      </c>
      <c r="C78" s="421">
        <f>'24'!H25</f>
        <v>118.93364138363715</v>
      </c>
      <c r="D78" s="419" t="s">
        <v>27</v>
      </c>
      <c r="E78" s="428" t="s">
        <v>775</v>
      </c>
    </row>
    <row r="79" spans="1:5" ht="14.25">
      <c r="A79" s="416">
        <v>62</v>
      </c>
      <c r="B79" s="417" t="s">
        <v>644</v>
      </c>
      <c r="C79" s="421">
        <f>'24'!K25</f>
        <v>56.476683937823836</v>
      </c>
      <c r="D79" s="419" t="s">
        <v>27</v>
      </c>
      <c r="E79" s="428" t="s">
        <v>775</v>
      </c>
    </row>
    <row r="80" spans="1:5" ht="14.25">
      <c r="A80" s="416">
        <v>63</v>
      </c>
      <c r="B80" s="417" t="s">
        <v>646</v>
      </c>
      <c r="C80" s="421">
        <f>'25'!E25</f>
        <v>82.45103410491713</v>
      </c>
      <c r="D80" s="419" t="s">
        <v>27</v>
      </c>
      <c r="E80" s="428" t="s">
        <v>776</v>
      </c>
    </row>
    <row r="81" spans="1:5" ht="14.25">
      <c r="A81" s="416">
        <v>64</v>
      </c>
      <c r="B81" s="417" t="s">
        <v>647</v>
      </c>
      <c r="C81" s="421">
        <f>'25'!G25</f>
        <v>62.79276811395699</v>
      </c>
      <c r="D81" s="419" t="s">
        <v>27</v>
      </c>
      <c r="E81" s="428" t="s">
        <v>776</v>
      </c>
    </row>
    <row r="82" spans="1:5" ht="14.25">
      <c r="A82" s="416">
        <v>65</v>
      </c>
      <c r="B82" s="417" t="s">
        <v>648</v>
      </c>
      <c r="C82" s="421">
        <f>'26'!M25</f>
        <v>0.07549434875295093</v>
      </c>
      <c r="D82" s="419" t="s">
        <v>27</v>
      </c>
      <c r="E82" s="428" t="s">
        <v>777</v>
      </c>
    </row>
    <row r="83" spans="1:5" ht="14.25">
      <c r="A83" s="416">
        <v>66</v>
      </c>
      <c r="B83" s="417" t="s">
        <v>649</v>
      </c>
      <c r="C83" s="423">
        <f>'27'!E16</f>
        <v>49.41935483870968</v>
      </c>
      <c r="D83" s="419" t="s">
        <v>27</v>
      </c>
      <c r="E83" s="420" t="s">
        <v>792</v>
      </c>
    </row>
    <row r="84" spans="1:5" ht="14.25">
      <c r="A84" s="416">
        <v>67</v>
      </c>
      <c r="B84" s="417" t="s">
        <v>650</v>
      </c>
      <c r="C84" s="421">
        <f>'27'!H16</f>
        <v>81.66666666666667</v>
      </c>
      <c r="D84" s="419" t="s">
        <v>27</v>
      </c>
      <c r="E84" s="420" t="s">
        <v>792</v>
      </c>
    </row>
    <row r="85" spans="1:5" ht="14.25">
      <c r="A85" s="416">
        <v>68</v>
      </c>
      <c r="B85" s="417" t="s">
        <v>651</v>
      </c>
      <c r="C85" s="423">
        <f>'28'!E25</f>
        <v>83.60545220890303</v>
      </c>
      <c r="D85" s="419" t="s">
        <v>27</v>
      </c>
      <c r="E85" s="420" t="s">
        <v>793</v>
      </c>
    </row>
    <row r="86" spans="1:5" ht="14.25">
      <c r="A86" s="416">
        <v>69</v>
      </c>
      <c r="B86" s="417" t="s">
        <v>652</v>
      </c>
      <c r="C86" s="423">
        <f>'28'!G25</f>
        <v>72.97701561084543</v>
      </c>
      <c r="D86" s="419" t="s">
        <v>27</v>
      </c>
      <c r="E86" s="420" t="s">
        <v>793</v>
      </c>
    </row>
    <row r="87" spans="1:5" ht="14.25">
      <c r="A87" s="416">
        <v>70</v>
      </c>
      <c r="B87" s="417" t="s">
        <v>653</v>
      </c>
      <c r="C87" s="421">
        <f>'28'!J25</f>
        <v>5.063602634966306</v>
      </c>
      <c r="D87" s="419" t="s">
        <v>27</v>
      </c>
      <c r="E87" s="420" t="s">
        <v>793</v>
      </c>
    </row>
    <row r="88" spans="1:5" ht="14.25">
      <c r="A88" s="416">
        <v>71</v>
      </c>
      <c r="B88" s="417" t="s">
        <v>654</v>
      </c>
      <c r="C88" s="421">
        <f>'28'!L25</f>
        <v>45.15887850467289</v>
      </c>
      <c r="D88" s="419" t="s">
        <v>27</v>
      </c>
      <c r="E88" s="420" t="s">
        <v>793</v>
      </c>
    </row>
    <row r="89" spans="1:5" ht="14.25">
      <c r="A89" s="416">
        <v>72</v>
      </c>
      <c r="B89" s="417" t="s">
        <v>794</v>
      </c>
      <c r="C89" s="421">
        <f>'29'!E21</f>
        <v>40.932642487046635</v>
      </c>
      <c r="D89" s="419" t="s">
        <v>27</v>
      </c>
      <c r="E89" s="420" t="s">
        <v>795</v>
      </c>
    </row>
    <row r="90" spans="1:5" ht="14.25">
      <c r="A90" s="416">
        <v>73</v>
      </c>
      <c r="B90" s="417" t="s">
        <v>655</v>
      </c>
      <c r="C90" s="421">
        <f>'30'!F25</f>
        <v>96.63865546218487</v>
      </c>
      <c r="D90" s="419" t="s">
        <v>27</v>
      </c>
      <c r="E90" s="420" t="s">
        <v>796</v>
      </c>
    </row>
    <row r="91" spans="1:5" ht="14.25">
      <c r="A91" s="416">
        <v>74</v>
      </c>
      <c r="B91" s="404" t="s">
        <v>656</v>
      </c>
      <c r="C91" s="421">
        <f>'32'!E25</f>
        <v>34.68294481861765</v>
      </c>
      <c r="D91" s="419" t="s">
        <v>27</v>
      </c>
      <c r="E91" s="420" t="s">
        <v>797</v>
      </c>
    </row>
    <row r="92" spans="1:5" ht="14.25">
      <c r="A92" s="416">
        <v>75</v>
      </c>
      <c r="B92" s="404" t="s">
        <v>657</v>
      </c>
      <c r="C92" s="421">
        <f>'33'!E25</f>
        <v>35.160427807486634</v>
      </c>
      <c r="D92" s="419" t="s">
        <v>27</v>
      </c>
      <c r="E92" s="420" t="s">
        <v>798</v>
      </c>
    </row>
    <row r="93" spans="1:5" ht="14.25">
      <c r="A93" s="416">
        <v>76</v>
      </c>
      <c r="B93" s="404" t="s">
        <v>658</v>
      </c>
      <c r="C93" s="421">
        <f>'34'!F26</f>
        <v>0.4886731391585761</v>
      </c>
      <c r="D93" s="419" t="s">
        <v>27</v>
      </c>
      <c r="E93" s="420" t="s">
        <v>799</v>
      </c>
    </row>
    <row r="94" spans="1:5" ht="14.25">
      <c r="A94" s="416">
        <v>77</v>
      </c>
      <c r="B94" s="404" t="s">
        <v>659</v>
      </c>
      <c r="C94" s="421">
        <f>'34'!I26</f>
        <v>18.180705348744315</v>
      </c>
      <c r="D94" s="419" t="s">
        <v>27</v>
      </c>
      <c r="E94" s="420" t="s">
        <v>799</v>
      </c>
    </row>
    <row r="95" spans="1:5" ht="14.25">
      <c r="A95" s="416">
        <v>78</v>
      </c>
      <c r="B95" s="404" t="s">
        <v>660</v>
      </c>
      <c r="C95" s="421">
        <f>'34'!L26</f>
        <v>73.6866902237927</v>
      </c>
      <c r="D95" s="419" t="s">
        <v>27</v>
      </c>
      <c r="E95" s="420" t="s">
        <v>799</v>
      </c>
    </row>
    <row r="96" spans="1:5" ht="14.25">
      <c r="A96" s="416">
        <v>79</v>
      </c>
      <c r="B96" s="404" t="s">
        <v>661</v>
      </c>
      <c r="C96" s="421">
        <f>'36'!I25</f>
        <v>62.50011448626805</v>
      </c>
      <c r="D96" s="419" t="s">
        <v>27</v>
      </c>
      <c r="E96" s="420" t="s">
        <v>800</v>
      </c>
    </row>
    <row r="97" spans="1:5" ht="14.25">
      <c r="A97" s="416">
        <v>80</v>
      </c>
      <c r="B97" s="404" t="s">
        <v>662</v>
      </c>
      <c r="C97" s="423">
        <f>'37'!E26</f>
        <v>85.03705625416275</v>
      </c>
      <c r="D97" s="419" t="s">
        <v>27</v>
      </c>
      <c r="E97" s="420" t="s">
        <v>801</v>
      </c>
    </row>
    <row r="98" spans="1:5" ht="14.25">
      <c r="A98" s="416">
        <v>81</v>
      </c>
      <c r="B98" s="404" t="s">
        <v>663</v>
      </c>
      <c r="C98" s="423">
        <f>'37'!G26</f>
        <v>46.93908605382698</v>
      </c>
      <c r="D98" s="419" t="s">
        <v>27</v>
      </c>
      <c r="E98" s="420" t="s">
        <v>801</v>
      </c>
    </row>
    <row r="99" spans="1:5" ht="14.25">
      <c r="A99" s="416">
        <v>82</v>
      </c>
      <c r="B99" s="407" t="s">
        <v>664</v>
      </c>
      <c r="C99" s="421">
        <f>'37'!L26</f>
        <v>53.87673956262425</v>
      </c>
      <c r="D99" s="429" t="s">
        <v>27</v>
      </c>
      <c r="E99" s="428" t="s">
        <v>801</v>
      </c>
    </row>
    <row r="100" spans="1:5" ht="14.25">
      <c r="A100" s="416">
        <v>83</v>
      </c>
      <c r="B100" s="404" t="s">
        <v>665</v>
      </c>
      <c r="C100" s="421">
        <f>'39'!K26</f>
        <v>36.80070019031336</v>
      </c>
      <c r="D100" s="429" t="s">
        <v>27</v>
      </c>
      <c r="E100" s="428" t="s">
        <v>802</v>
      </c>
    </row>
    <row r="101" spans="1:5" ht="14.25">
      <c r="A101" s="433">
        <v>84</v>
      </c>
      <c r="B101" s="438" t="s">
        <v>666</v>
      </c>
      <c r="C101" s="439">
        <f>'40'!F25</f>
        <v>17.595399975499205</v>
      </c>
      <c r="D101" s="440" t="s">
        <v>27</v>
      </c>
      <c r="E101" s="437" t="s">
        <v>803</v>
      </c>
    </row>
    <row r="102" spans="1:5" ht="14.25">
      <c r="A102" s="416"/>
      <c r="C102" s="421"/>
      <c r="D102" s="429"/>
      <c r="E102" s="428"/>
    </row>
    <row r="103" spans="1:5" ht="15">
      <c r="A103" s="411" t="s">
        <v>766</v>
      </c>
      <c r="B103" s="430" t="s">
        <v>767</v>
      </c>
      <c r="C103" s="421"/>
      <c r="D103" s="429"/>
      <c r="E103" s="427"/>
    </row>
    <row r="104" spans="1:9" ht="14.25">
      <c r="A104" s="416">
        <v>85</v>
      </c>
      <c r="B104" s="404" t="s">
        <v>667</v>
      </c>
      <c r="C104" s="421">
        <f>'43'!F20</f>
        <v>65.42553191489363</v>
      </c>
      <c r="D104" s="429" t="s">
        <v>27</v>
      </c>
      <c r="E104" s="428" t="s">
        <v>804</v>
      </c>
      <c r="H104" s="431"/>
      <c r="I104" s="431"/>
    </row>
    <row r="105" spans="1:9" ht="14.25">
      <c r="A105" s="416"/>
      <c r="C105" s="421"/>
      <c r="D105" s="429"/>
      <c r="E105" s="428"/>
      <c r="H105" s="431"/>
      <c r="I105" s="431"/>
    </row>
    <row r="106" spans="1:9" ht="15">
      <c r="A106" s="411" t="s">
        <v>778</v>
      </c>
      <c r="B106" s="430" t="s">
        <v>779</v>
      </c>
      <c r="C106" s="423"/>
      <c r="D106" s="429"/>
      <c r="E106" s="427"/>
      <c r="H106" s="431"/>
      <c r="I106" s="431"/>
    </row>
    <row r="107" spans="1:5" ht="14.25">
      <c r="A107" s="416">
        <v>86</v>
      </c>
      <c r="B107" s="404" t="s">
        <v>668</v>
      </c>
      <c r="C107" s="421">
        <f>'45'!E25</f>
        <v>52.12208777316236</v>
      </c>
      <c r="D107" s="429" t="s">
        <v>27</v>
      </c>
      <c r="E107" s="428" t="s">
        <v>813</v>
      </c>
    </row>
    <row r="108" spans="1:5" ht="14.25">
      <c r="A108" s="416">
        <v>87</v>
      </c>
      <c r="B108" s="404" t="s">
        <v>669</v>
      </c>
      <c r="C108" s="421">
        <f>'46'!M26</f>
        <v>7.96420581655481</v>
      </c>
      <c r="D108" s="429" t="s">
        <v>27</v>
      </c>
      <c r="E108" s="428" t="s">
        <v>814</v>
      </c>
    </row>
    <row r="109" spans="1:5" ht="14.25">
      <c r="A109" s="416"/>
      <c r="C109" s="421"/>
      <c r="D109" s="429"/>
      <c r="E109" s="428"/>
    </row>
    <row r="110" spans="1:5" ht="15">
      <c r="A110" s="411" t="s">
        <v>811</v>
      </c>
      <c r="B110" s="430" t="s">
        <v>812</v>
      </c>
      <c r="C110" s="421"/>
      <c r="D110" s="429"/>
      <c r="E110" s="427"/>
    </row>
    <row r="111" spans="1:5" ht="14.25">
      <c r="A111" s="416">
        <v>88</v>
      </c>
      <c r="B111" s="404" t="s">
        <v>670</v>
      </c>
      <c r="C111" s="421">
        <f>'47'!E26</f>
        <v>23.121537070774806</v>
      </c>
      <c r="D111" s="429" t="s">
        <v>27</v>
      </c>
      <c r="E111" s="428" t="s">
        <v>815</v>
      </c>
    </row>
    <row r="112" spans="1:5" ht="14.25">
      <c r="A112" s="416">
        <v>89</v>
      </c>
      <c r="B112" s="404" t="s">
        <v>671</v>
      </c>
      <c r="C112" s="421">
        <f>'47'!G26</f>
        <v>53.51835533463943</v>
      </c>
      <c r="D112" s="429" t="s">
        <v>27</v>
      </c>
      <c r="E112" s="428" t="s">
        <v>815</v>
      </c>
    </row>
    <row r="113" spans="1:5" ht="14.25">
      <c r="A113" s="416">
        <v>90</v>
      </c>
      <c r="B113" s="404" t="s">
        <v>672</v>
      </c>
      <c r="C113" s="421">
        <f>'48'!E26</f>
        <v>27.086737592134146</v>
      </c>
      <c r="D113" s="429" t="s">
        <v>27</v>
      </c>
      <c r="E113" s="428" t="s">
        <v>816</v>
      </c>
    </row>
    <row r="114" spans="1:5" ht="14.25">
      <c r="A114" s="416">
        <v>91</v>
      </c>
      <c r="B114" s="404" t="s">
        <v>673</v>
      </c>
      <c r="C114" s="413">
        <f>'48'!S26</f>
        <v>100</v>
      </c>
      <c r="D114" s="429" t="s">
        <v>27</v>
      </c>
      <c r="E114" s="428" t="s">
        <v>816</v>
      </c>
    </row>
    <row r="115" spans="1:5" ht="14.25">
      <c r="A115" s="416">
        <v>92</v>
      </c>
      <c r="B115" s="404" t="s">
        <v>674</v>
      </c>
      <c r="C115" s="423">
        <f>'49'!G26</f>
        <v>68.27003168326081</v>
      </c>
      <c r="D115" s="429" t="s">
        <v>27</v>
      </c>
      <c r="E115" s="428" t="s">
        <v>817</v>
      </c>
    </row>
    <row r="116" spans="1:5" ht="14.25">
      <c r="A116" s="416">
        <v>93</v>
      </c>
      <c r="B116" s="404" t="s">
        <v>675</v>
      </c>
      <c r="C116" s="423">
        <f>'49'!H26</f>
        <v>57.06222419867958</v>
      </c>
      <c r="D116" s="429" t="s">
        <v>27</v>
      </c>
      <c r="E116" s="428" t="s">
        <v>817</v>
      </c>
    </row>
    <row r="117" spans="1:5" ht="14.25">
      <c r="A117" s="416">
        <v>94</v>
      </c>
      <c r="B117" s="404" t="s">
        <v>676</v>
      </c>
      <c r="C117" s="423">
        <f>'49'!L26</f>
        <v>34.81343461850843</v>
      </c>
      <c r="D117" s="429" t="s">
        <v>27</v>
      </c>
      <c r="E117" s="428" t="s">
        <v>817</v>
      </c>
    </row>
    <row r="118" spans="1:5" ht="14.25">
      <c r="A118" s="416">
        <v>95</v>
      </c>
      <c r="B118" s="404" t="s">
        <v>677</v>
      </c>
      <c r="C118" s="423">
        <f>'49'!M26</f>
        <v>71.24114837788879</v>
      </c>
      <c r="D118" s="429" t="s">
        <v>27</v>
      </c>
      <c r="E118" s="428" t="s">
        <v>817</v>
      </c>
    </row>
    <row r="119" spans="1:5" ht="14.25">
      <c r="A119" s="416">
        <v>96</v>
      </c>
      <c r="B119" s="404" t="s">
        <v>678</v>
      </c>
      <c r="C119" s="423">
        <f>'49'!Q26</f>
        <v>28.997738813075213</v>
      </c>
      <c r="D119" s="429" t="s">
        <v>27</v>
      </c>
      <c r="E119" s="428" t="s">
        <v>817</v>
      </c>
    </row>
    <row r="120" spans="1:5" ht="14.25">
      <c r="A120" s="416">
        <v>97</v>
      </c>
      <c r="B120" s="404" t="s">
        <v>679</v>
      </c>
      <c r="C120" s="423">
        <f>'49'!R26</f>
        <v>28.997738813075213</v>
      </c>
      <c r="D120" s="429" t="s">
        <v>27</v>
      </c>
      <c r="E120" s="428" t="s">
        <v>817</v>
      </c>
    </row>
    <row r="121" spans="1:5" ht="14.25">
      <c r="A121" s="416">
        <v>98</v>
      </c>
      <c r="B121" s="404" t="s">
        <v>680</v>
      </c>
      <c r="C121" s="421">
        <f>'50'!V26</f>
        <v>52.834077636551015</v>
      </c>
      <c r="D121" s="429" t="s">
        <v>27</v>
      </c>
      <c r="E121" s="428" t="s">
        <v>818</v>
      </c>
    </row>
    <row r="122" spans="1:5" ht="14.25">
      <c r="A122" s="416">
        <v>99</v>
      </c>
      <c r="B122" s="404" t="s">
        <v>681</v>
      </c>
      <c r="C122" s="421">
        <f>'51'!T25</f>
        <v>47.330327479829144</v>
      </c>
      <c r="D122" s="429" t="s">
        <v>27</v>
      </c>
      <c r="E122" s="428" t="s">
        <v>821</v>
      </c>
    </row>
    <row r="123" spans="1:5" ht="14.25">
      <c r="A123" s="416">
        <v>100</v>
      </c>
      <c r="B123" s="407" t="s">
        <v>682</v>
      </c>
      <c r="C123" s="421">
        <f>'52'!E26</f>
        <v>8.601614533571498</v>
      </c>
      <c r="D123" s="429" t="s">
        <v>27</v>
      </c>
      <c r="E123" s="428" t="s">
        <v>822</v>
      </c>
    </row>
    <row r="124" spans="1:5" ht="14.25">
      <c r="A124" s="416">
        <v>101</v>
      </c>
      <c r="B124" s="407" t="s">
        <v>683</v>
      </c>
      <c r="C124" s="421">
        <f>'52'!G26</f>
        <v>60.13016281850796</v>
      </c>
      <c r="D124" s="419" t="s">
        <v>27</v>
      </c>
      <c r="E124" s="428" t="s">
        <v>822</v>
      </c>
    </row>
    <row r="125" spans="1:5" ht="14.25">
      <c r="A125" s="416"/>
      <c r="B125" s="407"/>
      <c r="C125" s="421"/>
      <c r="D125" s="419"/>
      <c r="E125" s="427"/>
    </row>
    <row r="126" spans="1:5" ht="15">
      <c r="A126" s="411" t="s">
        <v>780</v>
      </c>
      <c r="B126" s="432" t="s">
        <v>781</v>
      </c>
      <c r="C126" s="421"/>
      <c r="D126" s="419"/>
      <c r="E126" s="427"/>
    </row>
    <row r="127" spans="1:5" ht="15">
      <c r="A127" s="411" t="s">
        <v>782</v>
      </c>
      <c r="B127" s="432" t="s">
        <v>783</v>
      </c>
      <c r="C127" s="421"/>
      <c r="D127" s="419"/>
      <c r="E127" s="427"/>
    </row>
    <row r="128" spans="1:5" ht="14.25">
      <c r="A128" s="416">
        <v>102</v>
      </c>
      <c r="B128" s="407" t="s">
        <v>684</v>
      </c>
      <c r="C128" s="426">
        <f>'53'!D78</f>
        <v>552</v>
      </c>
      <c r="D128" s="417" t="s">
        <v>703</v>
      </c>
      <c r="E128" s="428" t="s">
        <v>823</v>
      </c>
    </row>
    <row r="129" spans="1:5" ht="14.25">
      <c r="A129" s="416">
        <v>103</v>
      </c>
      <c r="B129" s="407" t="s">
        <v>685</v>
      </c>
      <c r="C129" s="606">
        <f>'53'!F78</f>
        <v>4627</v>
      </c>
      <c r="D129" s="417" t="s">
        <v>703</v>
      </c>
      <c r="E129" s="428" t="s">
        <v>823</v>
      </c>
    </row>
    <row r="130" spans="1:5" ht="14.25">
      <c r="A130" s="416">
        <v>104</v>
      </c>
      <c r="B130" s="404" t="s">
        <v>686</v>
      </c>
      <c r="C130" s="426">
        <f>'53'!H78</f>
        <v>259</v>
      </c>
      <c r="D130" s="407" t="s">
        <v>703</v>
      </c>
      <c r="E130" s="428" t="s">
        <v>823</v>
      </c>
    </row>
    <row r="131" spans="1:5" ht="14.25">
      <c r="A131" s="416">
        <v>105</v>
      </c>
      <c r="B131" s="404" t="s">
        <v>687</v>
      </c>
      <c r="C131" s="413">
        <f>'53'!J78</f>
        <v>273</v>
      </c>
      <c r="D131" s="407" t="s">
        <v>703</v>
      </c>
      <c r="E131" s="428" t="s">
        <v>823</v>
      </c>
    </row>
    <row r="132" spans="1:5" ht="14.25">
      <c r="A132" s="416">
        <v>106</v>
      </c>
      <c r="B132" s="404" t="s">
        <v>688</v>
      </c>
      <c r="C132" s="413">
        <f>'53'!L78</f>
        <v>280</v>
      </c>
      <c r="D132" s="407" t="s">
        <v>703</v>
      </c>
      <c r="E132" s="428" t="s">
        <v>823</v>
      </c>
    </row>
    <row r="133" spans="1:5" ht="14.25">
      <c r="A133" s="416">
        <v>107</v>
      </c>
      <c r="B133" s="404" t="s">
        <v>689</v>
      </c>
      <c r="C133" s="413">
        <f>'53'!N78</f>
        <v>257</v>
      </c>
      <c r="D133" s="407" t="s">
        <v>703</v>
      </c>
      <c r="E133" s="428" t="s">
        <v>823</v>
      </c>
    </row>
    <row r="134" spans="1:5" ht="14.25">
      <c r="A134" s="416">
        <v>108</v>
      </c>
      <c r="B134" s="404" t="s">
        <v>690</v>
      </c>
      <c r="C134" s="413">
        <f>'53'!P78</f>
        <v>241</v>
      </c>
      <c r="D134" s="407" t="s">
        <v>703</v>
      </c>
      <c r="E134" s="428" t="s">
        <v>823</v>
      </c>
    </row>
    <row r="135" spans="1:5" ht="14.25">
      <c r="A135" s="416">
        <v>109</v>
      </c>
      <c r="B135" s="404" t="s">
        <v>692</v>
      </c>
      <c r="C135" s="605">
        <f>'53'!R78</f>
        <v>6489</v>
      </c>
      <c r="D135" s="407" t="s">
        <v>703</v>
      </c>
      <c r="E135" s="428" t="s">
        <v>823</v>
      </c>
    </row>
    <row r="136" spans="1:5" ht="14.25">
      <c r="A136" s="416">
        <v>110</v>
      </c>
      <c r="B136" s="404" t="s">
        <v>693</v>
      </c>
      <c r="C136" s="413">
        <f>'55'!C80</f>
        <v>66</v>
      </c>
      <c r="D136" s="407" t="s">
        <v>703</v>
      </c>
      <c r="E136" s="428" t="s">
        <v>824</v>
      </c>
    </row>
    <row r="137" spans="1:5" ht="14.25">
      <c r="A137" s="416">
        <v>111</v>
      </c>
      <c r="B137" s="404" t="s">
        <v>696</v>
      </c>
      <c r="C137" s="413">
        <f>'55'!D80</f>
        <v>408</v>
      </c>
      <c r="D137" s="407" t="s">
        <v>703</v>
      </c>
      <c r="E137" s="428" t="s">
        <v>824</v>
      </c>
    </row>
    <row r="138" spans="1:5" ht="14.25">
      <c r="A138" s="416">
        <v>112</v>
      </c>
      <c r="B138" s="404" t="s">
        <v>695</v>
      </c>
      <c r="C138" s="413">
        <f>'55'!E80</f>
        <v>86</v>
      </c>
      <c r="D138" s="407" t="s">
        <v>703</v>
      </c>
      <c r="E138" s="428" t="s">
        <v>824</v>
      </c>
    </row>
    <row r="139" spans="1:5" ht="14.25">
      <c r="A139" s="416"/>
      <c r="C139" s="413"/>
      <c r="D139" s="407"/>
      <c r="E139" s="427"/>
    </row>
    <row r="140" spans="1:5" ht="15">
      <c r="A140" s="411" t="s">
        <v>784</v>
      </c>
      <c r="B140" s="430" t="s">
        <v>785</v>
      </c>
      <c r="C140" s="413"/>
      <c r="D140" s="407"/>
      <c r="E140" s="427"/>
    </row>
    <row r="141" spans="1:5" ht="14.25">
      <c r="A141" s="416">
        <v>113</v>
      </c>
      <c r="B141" s="417" t="s">
        <v>697</v>
      </c>
      <c r="C141" s="605">
        <f>'60'!C41</f>
        <v>542923439139</v>
      </c>
      <c r="D141" s="406" t="s">
        <v>699</v>
      </c>
      <c r="E141" s="428" t="s">
        <v>825</v>
      </c>
    </row>
    <row r="142" spans="1:5" ht="14.25">
      <c r="A142" s="416">
        <v>114</v>
      </c>
      <c r="B142" s="417" t="s">
        <v>698</v>
      </c>
      <c r="C142" s="421">
        <f>'60'!D45</f>
        <v>4.645365939487216</v>
      </c>
      <c r="D142" s="429" t="s">
        <v>27</v>
      </c>
      <c r="E142" s="428" t="s">
        <v>825</v>
      </c>
    </row>
    <row r="143" spans="1:5" ht="14.25">
      <c r="A143" s="416">
        <v>115</v>
      </c>
      <c r="B143" s="417" t="s">
        <v>704</v>
      </c>
      <c r="C143" s="421">
        <f>'60'!C47</f>
        <v>3597.7509707951576</v>
      </c>
      <c r="D143" s="429" t="s">
        <v>27</v>
      </c>
      <c r="E143" s="428" t="s">
        <v>825</v>
      </c>
    </row>
    <row r="144" spans="1:5" ht="14.25">
      <c r="A144" s="416"/>
      <c r="B144" s="417"/>
      <c r="C144" s="421"/>
      <c r="D144" s="429"/>
      <c r="E144" s="427"/>
    </row>
    <row r="145" spans="1:5" ht="15">
      <c r="A145" s="411" t="s">
        <v>786</v>
      </c>
      <c r="B145" s="412" t="s">
        <v>787</v>
      </c>
      <c r="C145" s="421"/>
      <c r="D145" s="429"/>
      <c r="E145" s="427"/>
    </row>
    <row r="146" spans="1:5" ht="14.25">
      <c r="A146" s="416">
        <v>116</v>
      </c>
      <c r="B146" s="417" t="s">
        <v>700</v>
      </c>
      <c r="C146" s="418">
        <f>'62'!D27</f>
        <v>433</v>
      </c>
      <c r="D146" s="406" t="s">
        <v>705</v>
      </c>
      <c r="E146" s="428" t="s">
        <v>826</v>
      </c>
    </row>
    <row r="147" spans="1:5" ht="14.25">
      <c r="A147" s="416">
        <v>117</v>
      </c>
      <c r="B147" s="417" t="s">
        <v>701</v>
      </c>
      <c r="C147" s="418">
        <f>'62'!F27</f>
        <v>394</v>
      </c>
      <c r="D147" s="406" t="s">
        <v>706</v>
      </c>
      <c r="E147" s="428" t="s">
        <v>826</v>
      </c>
    </row>
    <row r="148" spans="1:5" ht="14.25">
      <c r="A148" s="433">
        <v>118</v>
      </c>
      <c r="B148" s="434" t="s">
        <v>702</v>
      </c>
      <c r="C148" s="435">
        <f>'62'!G27</f>
        <v>2235</v>
      </c>
      <c r="D148" s="436" t="s">
        <v>707</v>
      </c>
      <c r="E148" s="437" t="s">
        <v>826</v>
      </c>
    </row>
    <row r="150" ht="14.25">
      <c r="A150" s="407"/>
    </row>
    <row r="151" ht="14.25">
      <c r="A151" s="407"/>
    </row>
    <row r="152" ht="14.25">
      <c r="A152" s="407"/>
    </row>
    <row r="153" ht="14.25">
      <c r="A153" s="407"/>
    </row>
    <row r="154" ht="14.25">
      <c r="A154" s="407"/>
    </row>
    <row r="155" ht="14.25">
      <c r="A155" s="407"/>
    </row>
    <row r="156" ht="14.25">
      <c r="A156" s="407"/>
    </row>
    <row r="157" ht="14.25">
      <c r="A157" s="407"/>
    </row>
    <row r="158" ht="14.25">
      <c r="A158" s="407"/>
    </row>
    <row r="159" ht="14.25">
      <c r="A159" s="407"/>
    </row>
    <row r="160" ht="14.25">
      <c r="A160" s="407"/>
    </row>
    <row r="161" ht="14.25">
      <c r="A161" s="407"/>
    </row>
    <row r="162" ht="14.25">
      <c r="A162" s="407"/>
    </row>
    <row r="163" ht="14.25">
      <c r="A163" s="407"/>
    </row>
    <row r="164" ht="14.25">
      <c r="A164" s="407"/>
    </row>
    <row r="165" ht="14.25">
      <c r="A165" s="407"/>
    </row>
    <row r="166" ht="14.25">
      <c r="A166" s="407"/>
    </row>
    <row r="167" ht="14.25">
      <c r="A167" s="407"/>
    </row>
    <row r="168" ht="14.25">
      <c r="A168" s="407"/>
    </row>
    <row r="169" ht="14.25">
      <c r="A169" s="407"/>
    </row>
    <row r="170" ht="14.25">
      <c r="A170" s="407"/>
    </row>
    <row r="171" ht="14.25">
      <c r="A171" s="407"/>
    </row>
    <row r="172" ht="14.25">
      <c r="A172" s="407"/>
    </row>
    <row r="173" ht="14.25">
      <c r="A173" s="407"/>
    </row>
    <row r="174" ht="14.25">
      <c r="A174" s="407"/>
    </row>
    <row r="175" ht="14.25">
      <c r="A175" s="407"/>
    </row>
    <row r="176" ht="14.25">
      <c r="A176" s="407"/>
    </row>
    <row r="177" ht="14.25">
      <c r="A177" s="407"/>
    </row>
    <row r="178" ht="14.25">
      <c r="A178" s="407"/>
    </row>
    <row r="179" ht="14.25">
      <c r="A179" s="407"/>
    </row>
    <row r="180" ht="14.25">
      <c r="A180" s="407"/>
    </row>
    <row r="181" ht="14.25">
      <c r="A181" s="407"/>
    </row>
    <row r="182" ht="14.25">
      <c r="A182" s="407"/>
    </row>
    <row r="183" ht="14.25">
      <c r="A183" s="407"/>
    </row>
    <row r="184" ht="14.25">
      <c r="A184" s="407"/>
    </row>
    <row r="185" ht="14.25">
      <c r="A185" s="407"/>
    </row>
    <row r="186" ht="14.25">
      <c r="A186" s="407"/>
    </row>
    <row r="187" ht="14.25">
      <c r="A187" s="407"/>
    </row>
    <row r="188" ht="14.25">
      <c r="A188" s="407"/>
    </row>
    <row r="189" ht="14.25">
      <c r="A189" s="407"/>
    </row>
    <row r="190" ht="14.25">
      <c r="A190" s="407"/>
    </row>
    <row r="191" ht="14.25">
      <c r="A191" s="407"/>
    </row>
    <row r="192" ht="14.25">
      <c r="A192" s="407"/>
    </row>
    <row r="193" ht="14.25">
      <c r="A193" s="407"/>
    </row>
    <row r="194" ht="14.25">
      <c r="A194" s="407"/>
    </row>
    <row r="195" ht="14.25">
      <c r="A195" s="407"/>
    </row>
    <row r="196" ht="14.25">
      <c r="A196" s="407"/>
    </row>
    <row r="197" ht="14.25">
      <c r="A197" s="407"/>
    </row>
    <row r="198" ht="14.25">
      <c r="A198" s="407"/>
    </row>
    <row r="199" ht="14.25">
      <c r="A199" s="407"/>
    </row>
    <row r="200" ht="14.25">
      <c r="A200" s="407"/>
    </row>
    <row r="201" ht="14.25">
      <c r="A201" s="407"/>
    </row>
    <row r="202" ht="14.25">
      <c r="A202" s="407"/>
    </row>
    <row r="203" ht="14.25">
      <c r="A203" s="407"/>
    </row>
    <row r="204" ht="14.25">
      <c r="A204" s="407"/>
    </row>
    <row r="205" ht="14.25">
      <c r="A205" s="407"/>
    </row>
    <row r="206" ht="14.25">
      <c r="A206" s="407"/>
    </row>
    <row r="207" ht="14.25">
      <c r="A207" s="407"/>
    </row>
    <row r="208" ht="14.25">
      <c r="A208" s="407"/>
    </row>
    <row r="209" ht="14.25">
      <c r="A209" s="407"/>
    </row>
    <row r="210" ht="14.25">
      <c r="A210" s="407"/>
    </row>
    <row r="211" ht="14.25">
      <c r="A211" s="407"/>
    </row>
    <row r="212" ht="14.25">
      <c r="A212" s="407"/>
    </row>
    <row r="213" ht="14.25">
      <c r="A213" s="407"/>
    </row>
    <row r="214" ht="14.25">
      <c r="A214" s="407"/>
    </row>
    <row r="215" ht="14.25">
      <c r="A215" s="407"/>
    </row>
    <row r="216" ht="14.25">
      <c r="A216" s="407"/>
    </row>
    <row r="217" ht="14.25">
      <c r="A217" s="407"/>
    </row>
  </sheetData>
  <mergeCells count="4">
    <mergeCell ref="A1:E1"/>
    <mergeCell ref="C5:D5"/>
    <mergeCell ref="A2:E2"/>
    <mergeCell ref="A3:E3"/>
  </mergeCells>
  <hyperlinks>
    <hyperlink ref="E8" r:id="rId1" display="Tabel 1"/>
    <hyperlink ref="E9" r:id="rId2" display="Tabel 1"/>
    <hyperlink ref="E10" r:id="rId3" display="Tabel 1"/>
    <hyperlink ref="E11" r:id="rId4" display="Tabel 1"/>
    <hyperlink ref="E12" r:id="rId5" display="Tabel 2"/>
    <hyperlink ref="E13" r:id="rId6" display="Tabel 2"/>
    <hyperlink ref="E14:E15" r:id="rId7" display="Tabel 2"/>
    <hyperlink ref="E16" r:id="rId8" display="Tabel 5"/>
    <hyperlink ref="E17:E18" r:id="rId9" display="Tabel 5"/>
    <hyperlink ref="E22" r:id="rId10" display="Tabel 6"/>
    <hyperlink ref="E23:E26" r:id="rId11" display="Tabel 6"/>
    <hyperlink ref="E27" r:id="rId12" display="Tabel 7"/>
    <hyperlink ref="E28" r:id="rId13" display="Tabel 7"/>
    <hyperlink ref="E31" r:id="rId14" display="Tabel 9"/>
    <hyperlink ref="E32:E33" r:id="rId15" display="Tabel 9"/>
    <hyperlink ref="E34" r:id="rId16" display="Tabel 10"/>
    <hyperlink ref="E35:E39" r:id="rId17" display="Tabel 10"/>
    <hyperlink ref="E40" r:id="rId18" display="Tabel 11"/>
    <hyperlink ref="E41" r:id="rId19" display="Tabel 12"/>
    <hyperlink ref="E42" r:id="rId20" display="Tabel 12"/>
    <hyperlink ref="E43" r:id="rId21" display="Tabel 13"/>
    <hyperlink ref="E44" r:id="rId22" display="Tabel 14"/>
    <hyperlink ref="E45:E50" r:id="rId23" display="Tabel 14"/>
    <hyperlink ref="E53" r:id="rId24" display="Tabel 15"/>
    <hyperlink ref="E54:E56" r:id="rId25" display="Tabel 15"/>
    <hyperlink ref="E57" r:id="rId26" display="Tabel 16"/>
    <hyperlink ref="E58:E60" r:id="rId27" display="Tabel 16"/>
    <hyperlink ref="E64" r:id="rId28" display="Tabel 17"/>
    <hyperlink ref="E65:E66" r:id="rId29" display="Tabel 17"/>
    <hyperlink ref="E67" r:id="rId30" display="Tabel 18"/>
    <hyperlink ref="E68:E69" r:id="rId31" display="Tabel 18"/>
    <hyperlink ref="E70" r:id="rId32" display="Tabel 19"/>
    <hyperlink ref="E71" r:id="rId33" display="Tabel 19"/>
    <hyperlink ref="E72" r:id="rId34" display="Tabel 20"/>
    <hyperlink ref="E73" r:id="rId35" display="Tabel 21"/>
    <hyperlink ref="E74" r:id="rId36" display="Tabel 22"/>
    <hyperlink ref="E75" r:id="rId37" display="Tabel 23"/>
    <hyperlink ref="E76" r:id="rId38" display="Tabel 23"/>
    <hyperlink ref="E77" r:id="rId39" display="Tabel 24"/>
    <hyperlink ref="E78:E79" r:id="rId40" display="Tabel 24"/>
    <hyperlink ref="E80" r:id="rId41" display="Tabel 25"/>
    <hyperlink ref="E81" r:id="rId42" display="Tabel 25"/>
    <hyperlink ref="E82" r:id="rId43" display="Tabel 26"/>
    <hyperlink ref="E83" r:id="rId44" display="Tabel 27"/>
    <hyperlink ref="E84" r:id="rId45" display="Tabel 27"/>
    <hyperlink ref="E85" r:id="rId46" display="Tabel 28"/>
    <hyperlink ref="E86:E88" r:id="rId47" display="Tabel 28"/>
    <hyperlink ref="E89" r:id="rId48" display="Tabel 29"/>
    <hyperlink ref="E90" r:id="rId49" display="Tabel 30"/>
    <hyperlink ref="E91" r:id="rId50" display="Tabel 32"/>
    <hyperlink ref="E92" r:id="rId51" display="Tabel 33"/>
    <hyperlink ref="E93" r:id="rId52" display="Tabel 34"/>
    <hyperlink ref="E94:E95" r:id="rId53" display="Tabel 34"/>
    <hyperlink ref="E96" r:id="rId54" display="Tabel 36"/>
    <hyperlink ref="E97" r:id="rId55" display="Tabel 37"/>
    <hyperlink ref="E98:E99" r:id="rId56" display="Tabel 37"/>
    <hyperlink ref="E100" r:id="rId57" display="Tabel 39"/>
    <hyperlink ref="E101" r:id="rId58" display="Tabel 40"/>
    <hyperlink ref="E104" r:id="rId59" display="Tabel 43"/>
    <hyperlink ref="E107" r:id="rId60" display="Tabel 45"/>
    <hyperlink ref="E108" r:id="rId61" display="Tabel 46"/>
    <hyperlink ref="E111" r:id="rId62" display="Tabel 47"/>
    <hyperlink ref="E112" r:id="rId63" display="Tabel 47"/>
    <hyperlink ref="E113" r:id="rId64" display="Tabel 48"/>
    <hyperlink ref="E114" r:id="rId65" display="Tabel 48"/>
    <hyperlink ref="E115" r:id="rId66" display="Tabel 49"/>
    <hyperlink ref="E116:E120" r:id="rId67" display="Tabel 49"/>
    <hyperlink ref="E121" r:id="rId68" display="Tabel 50"/>
    <hyperlink ref="E122" r:id="rId69" display="Tabel 51"/>
    <hyperlink ref="E123" r:id="rId70" display="Tabel 52"/>
    <hyperlink ref="E124" r:id="rId71" display="Tabel 52"/>
    <hyperlink ref="E128" r:id="rId72" display="Tabel 53"/>
    <hyperlink ref="E129:E135" r:id="rId73" display="Tabel 53"/>
    <hyperlink ref="E136" r:id="rId74" display="Tabel 55"/>
    <hyperlink ref="E137:E138" r:id="rId75" display="Tabel 55"/>
    <hyperlink ref="E141" r:id="rId76" display="Tabel 60"/>
    <hyperlink ref="E142:E143" r:id="rId77" display="Tabel 60"/>
    <hyperlink ref="E146" r:id="rId78" display="Tabel 62"/>
    <hyperlink ref="E147:E148" r:id="rId79" display="Tabel 62"/>
  </hyperlinks>
  <printOptions horizontalCentered="1"/>
  <pageMargins left="0.5511811023622047" right="0.15748031496062992" top="0.7874015748031497" bottom="0.7874015748031497" header="0.5118110236220472" footer="0.5118110236220472"/>
  <pageSetup horizontalDpi="600" verticalDpi="600" orientation="portrait" scale="92" r:id="rId80"/>
  <headerFooter alignWithMargins="0">
    <oddFooter>&amp;C57</oddFooter>
  </headerFooter>
  <rowBreaks count="2" manualBreakCount="2">
    <brk id="50" max="4" man="1"/>
    <brk id="10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M30"/>
  <sheetViews>
    <sheetView zoomScale="75" zoomScaleNormal="75" workbookViewId="0" topLeftCell="A1">
      <selection activeCell="D32" sqref="D32"/>
    </sheetView>
  </sheetViews>
  <sheetFormatPr defaultColWidth="9.140625" defaultRowHeight="12.75"/>
  <cols>
    <col min="1" max="1" width="5.7109375" style="14" customWidth="1"/>
    <col min="2" max="2" width="21.7109375" style="14" customWidth="1"/>
    <col min="3" max="11" width="13.00390625" style="14" customWidth="1"/>
    <col min="12" max="12" width="12.7109375" style="14" customWidth="1"/>
    <col min="13" max="16384" width="9.140625" style="14" customWidth="1"/>
  </cols>
  <sheetData>
    <row r="1" spans="1:2" ht="15">
      <c r="A1" s="132" t="s">
        <v>471</v>
      </c>
      <c r="B1" s="133"/>
    </row>
    <row r="3" spans="1:12" ht="15">
      <c r="A3" s="567" t="s">
        <v>297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</row>
    <row r="4" spans="1:12" ht="15">
      <c r="A4" s="642" t="str">
        <f>1!A5</f>
        <v>PROVINSI KALIMANTAN TENGAH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</row>
    <row r="5" spans="1:12" ht="15">
      <c r="A5" s="642" t="str">
        <f>1!A6</f>
        <v>TAHUN 2009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</row>
    <row r="6" spans="1:8" ht="15.75" thickBot="1">
      <c r="A6" s="82"/>
      <c r="B6" s="82"/>
      <c r="C6" s="82"/>
      <c r="D6" s="82"/>
      <c r="E6" s="106"/>
      <c r="F6" s="106"/>
      <c r="G6" s="106"/>
      <c r="H6" s="106"/>
    </row>
    <row r="7" spans="1:12" ht="15">
      <c r="A7" s="637" t="s">
        <v>2</v>
      </c>
      <c r="B7" s="637" t="s">
        <v>844</v>
      </c>
      <c r="C7" s="547" t="s">
        <v>467</v>
      </c>
      <c r="D7" s="134" t="s">
        <v>17</v>
      </c>
      <c r="E7" s="135"/>
      <c r="F7" s="135"/>
      <c r="G7" s="135"/>
      <c r="H7" s="135"/>
      <c r="I7" s="568" t="s">
        <v>298</v>
      </c>
      <c r="J7" s="569"/>
      <c r="K7" s="569"/>
      <c r="L7" s="570"/>
    </row>
    <row r="8" spans="1:12" ht="30">
      <c r="A8" s="639"/>
      <c r="B8" s="639"/>
      <c r="C8" s="560"/>
      <c r="D8" s="59" t="s">
        <v>18</v>
      </c>
      <c r="E8" s="59" t="s">
        <v>19</v>
      </c>
      <c r="F8" s="59" t="s">
        <v>299</v>
      </c>
      <c r="G8" s="59" t="s">
        <v>198</v>
      </c>
      <c r="H8" s="136" t="s">
        <v>300</v>
      </c>
      <c r="I8" s="162" t="s">
        <v>301</v>
      </c>
      <c r="J8" s="162" t="s">
        <v>302</v>
      </c>
      <c r="K8" s="162" t="s">
        <v>303</v>
      </c>
      <c r="L8" s="162" t="s">
        <v>304</v>
      </c>
    </row>
    <row r="9" spans="1:12" ht="15">
      <c r="A9" s="59">
        <v>1</v>
      </c>
      <c r="B9" s="137">
        <v>2</v>
      </c>
      <c r="C9" s="137">
        <v>3</v>
      </c>
      <c r="D9" s="59">
        <v>4</v>
      </c>
      <c r="E9" s="137">
        <v>5</v>
      </c>
      <c r="F9" s="59">
        <v>6</v>
      </c>
      <c r="G9" s="137">
        <v>7</v>
      </c>
      <c r="H9" s="59">
        <v>8</v>
      </c>
      <c r="I9" s="137">
        <v>9</v>
      </c>
      <c r="J9" s="59">
        <v>10</v>
      </c>
      <c r="K9" s="137">
        <v>11</v>
      </c>
      <c r="L9" s="59">
        <v>12</v>
      </c>
    </row>
    <row r="10" spans="1:12" ht="15">
      <c r="A10" s="138">
        <f>6!A11</f>
        <v>1</v>
      </c>
      <c r="B10" s="138" t="str">
        <f>6!B11</f>
        <v>Kotawaringin Barat</v>
      </c>
      <c r="C10" s="138">
        <v>0</v>
      </c>
      <c r="D10" s="139">
        <v>779</v>
      </c>
      <c r="E10" s="140">
        <v>107</v>
      </c>
      <c r="F10" s="140">
        <v>100</v>
      </c>
      <c r="G10" s="140">
        <v>92</v>
      </c>
      <c r="H10" s="141">
        <f>G10/F10*100</f>
        <v>92</v>
      </c>
      <c r="I10" s="140">
        <v>107</v>
      </c>
      <c r="J10" s="140">
        <v>62</v>
      </c>
      <c r="K10" s="140">
        <v>62</v>
      </c>
      <c r="L10" s="142">
        <f>K10/J10*100</f>
        <v>100</v>
      </c>
    </row>
    <row r="11" spans="1:12" ht="15">
      <c r="A11" s="138">
        <f>6!A12</f>
        <v>2</v>
      </c>
      <c r="B11" s="138" t="str">
        <f>6!B12</f>
        <v>Lamandau</v>
      </c>
      <c r="C11" s="138">
        <f>0</f>
        <v>0</v>
      </c>
      <c r="D11" s="139">
        <v>87</v>
      </c>
      <c r="E11" s="139">
        <v>10</v>
      </c>
      <c r="F11" s="139">
        <v>97</v>
      </c>
      <c r="G11" s="139">
        <v>97</v>
      </c>
      <c r="H11" s="141">
        <f aca="true" t="shared" si="0" ref="H11:H23">G11/F11*100</f>
        <v>100</v>
      </c>
      <c r="I11" s="139">
        <v>0</v>
      </c>
      <c r="J11" s="139">
        <v>0</v>
      </c>
      <c r="K11" s="139">
        <v>0</v>
      </c>
      <c r="L11" s="139">
        <v>0</v>
      </c>
    </row>
    <row r="12" spans="1:12" ht="15">
      <c r="A12" s="138">
        <f>6!A13</f>
        <v>3</v>
      </c>
      <c r="B12" s="138" t="str">
        <f>6!B13</f>
        <v>Sukamara</v>
      </c>
      <c r="C12" s="138">
        <v>0</v>
      </c>
      <c r="D12" s="139">
        <v>28</v>
      </c>
      <c r="E12" s="139">
        <v>17</v>
      </c>
      <c r="F12" s="139">
        <v>23</v>
      </c>
      <c r="G12" s="139">
        <v>23</v>
      </c>
      <c r="H12" s="141">
        <f t="shared" si="0"/>
        <v>100</v>
      </c>
      <c r="I12" s="139">
        <v>4</v>
      </c>
      <c r="J12" s="139">
        <v>3</v>
      </c>
      <c r="K12" s="139">
        <v>3</v>
      </c>
      <c r="L12" s="138">
        <f aca="true" t="shared" si="1" ref="L12:L23">K12/J12*100</f>
        <v>100</v>
      </c>
    </row>
    <row r="13" spans="1:12" ht="15">
      <c r="A13" s="138">
        <f>6!A14</f>
        <v>4</v>
      </c>
      <c r="B13" s="138" t="str">
        <f>6!B14</f>
        <v>Kotawaringin Timur</v>
      </c>
      <c r="C13" s="138">
        <v>0</v>
      </c>
      <c r="D13" s="139">
        <f>81+258</f>
        <v>339</v>
      </c>
      <c r="E13" s="139">
        <v>258</v>
      </c>
      <c r="F13" s="139">
        <v>242</v>
      </c>
      <c r="G13" s="139">
        <v>171</v>
      </c>
      <c r="H13" s="141">
        <f t="shared" si="0"/>
        <v>70.66115702479338</v>
      </c>
      <c r="I13" s="139">
        <v>11</v>
      </c>
      <c r="J13" s="139">
        <v>11</v>
      </c>
      <c r="K13" s="139">
        <v>11</v>
      </c>
      <c r="L13" s="138">
        <f t="shared" si="1"/>
        <v>100</v>
      </c>
    </row>
    <row r="14" spans="1:12" ht="15">
      <c r="A14" s="138">
        <f>6!A15</f>
        <v>5</v>
      </c>
      <c r="B14" s="138" t="str">
        <f>6!B15</f>
        <v>Seruyan</v>
      </c>
      <c r="C14" s="138">
        <v>0</v>
      </c>
      <c r="D14" s="139">
        <v>69</v>
      </c>
      <c r="E14" s="139">
        <v>0</v>
      </c>
      <c r="F14" s="139">
        <v>69</v>
      </c>
      <c r="G14" s="139">
        <v>57</v>
      </c>
      <c r="H14" s="141">
        <f t="shared" si="0"/>
        <v>82.6086956521739</v>
      </c>
      <c r="I14" s="139">
        <v>0</v>
      </c>
      <c r="J14" s="139">
        <v>0</v>
      </c>
      <c r="K14" s="139">
        <v>0</v>
      </c>
      <c r="L14" s="139">
        <v>0</v>
      </c>
    </row>
    <row r="15" spans="1:12" ht="15">
      <c r="A15" s="138">
        <f>6!A16</f>
        <v>6</v>
      </c>
      <c r="B15" s="138" t="str">
        <f>6!B16</f>
        <v>Katingan</v>
      </c>
      <c r="C15" s="138">
        <v>1</v>
      </c>
      <c r="D15" s="139">
        <v>0</v>
      </c>
      <c r="E15" s="139">
        <v>66</v>
      </c>
      <c r="F15" s="139">
        <v>37</v>
      </c>
      <c r="G15" s="139">
        <v>37</v>
      </c>
      <c r="H15" s="141">
        <f t="shared" si="0"/>
        <v>100</v>
      </c>
      <c r="I15" s="139">
        <v>30</v>
      </c>
      <c r="J15" s="139">
        <v>30</v>
      </c>
      <c r="K15" s="139">
        <v>30</v>
      </c>
      <c r="L15" s="138">
        <f t="shared" si="1"/>
        <v>100</v>
      </c>
    </row>
    <row r="16" spans="1:12" ht="15">
      <c r="A16" s="138">
        <f>6!A17</f>
        <v>7</v>
      </c>
      <c r="B16" s="138" t="str">
        <f>6!B17</f>
        <v>Kapuas</v>
      </c>
      <c r="C16" s="138">
        <v>0</v>
      </c>
      <c r="D16" s="139">
        <v>779</v>
      </c>
      <c r="E16" s="139">
        <v>130</v>
      </c>
      <c r="F16" s="139">
        <v>127</v>
      </c>
      <c r="G16" s="139">
        <v>110</v>
      </c>
      <c r="H16" s="141">
        <f t="shared" si="0"/>
        <v>86.61417322834646</v>
      </c>
      <c r="I16" s="139">
        <v>29460</v>
      </c>
      <c r="J16" s="139">
        <v>10169</v>
      </c>
      <c r="K16" s="139">
        <v>10169</v>
      </c>
      <c r="L16" s="138">
        <f t="shared" si="1"/>
        <v>100</v>
      </c>
    </row>
    <row r="17" spans="1:12" ht="15">
      <c r="A17" s="138">
        <f>6!A18</f>
        <v>8</v>
      </c>
      <c r="B17" s="138" t="str">
        <f>6!B18</f>
        <v>Pulang Pisau</v>
      </c>
      <c r="C17" s="138">
        <v>0</v>
      </c>
      <c r="D17" s="139">
        <f>38+90</f>
        <v>128</v>
      </c>
      <c r="E17" s="139">
        <v>90</v>
      </c>
      <c r="F17" s="139">
        <v>90</v>
      </c>
      <c r="G17" s="139">
        <v>79</v>
      </c>
      <c r="H17" s="141">
        <f t="shared" si="0"/>
        <v>87.77777777777777</v>
      </c>
      <c r="I17" s="139">
        <v>0</v>
      </c>
      <c r="J17" s="139">
        <v>0</v>
      </c>
      <c r="K17" s="139">
        <v>0</v>
      </c>
      <c r="L17" s="139">
        <v>0</v>
      </c>
    </row>
    <row r="18" spans="1:12" ht="15">
      <c r="A18" s="138">
        <f>6!A19</f>
        <v>9</v>
      </c>
      <c r="B18" s="138" t="str">
        <f>6!B19</f>
        <v>Gunung Mas</v>
      </c>
      <c r="C18" s="138">
        <v>2</v>
      </c>
      <c r="D18" s="139">
        <v>11</v>
      </c>
      <c r="E18" s="139">
        <v>5</v>
      </c>
      <c r="F18" s="139">
        <v>0</v>
      </c>
      <c r="G18" s="139">
        <v>0</v>
      </c>
      <c r="H18" s="139">
        <v>0</v>
      </c>
      <c r="I18" s="139">
        <v>3784</v>
      </c>
      <c r="J18" s="139">
        <v>2697</v>
      </c>
      <c r="K18" s="139">
        <v>1885</v>
      </c>
      <c r="L18" s="460">
        <f t="shared" si="1"/>
        <v>69.89247311827957</v>
      </c>
    </row>
    <row r="19" spans="1:12" ht="15">
      <c r="A19" s="138">
        <f>6!A20</f>
        <v>10</v>
      </c>
      <c r="B19" s="138" t="str">
        <f>6!B20</f>
        <v>Barito Selatan</v>
      </c>
      <c r="C19" s="138">
        <v>0</v>
      </c>
      <c r="D19" s="139">
        <v>1363</v>
      </c>
      <c r="E19" s="139">
        <v>139</v>
      </c>
      <c r="F19" s="139">
        <v>149</v>
      </c>
      <c r="G19" s="139">
        <v>90</v>
      </c>
      <c r="H19" s="141">
        <f t="shared" si="0"/>
        <v>60.40268456375839</v>
      </c>
      <c r="I19" s="139">
        <v>480</v>
      </c>
      <c r="J19" s="139">
        <v>208</v>
      </c>
      <c r="K19" s="139">
        <v>208</v>
      </c>
      <c r="L19" s="138">
        <f t="shared" si="1"/>
        <v>100</v>
      </c>
    </row>
    <row r="20" spans="1:12" ht="15">
      <c r="A20" s="138">
        <f>6!A21</f>
        <v>11</v>
      </c>
      <c r="B20" s="138" t="str">
        <f>6!B21</f>
        <v>Barito Timur</v>
      </c>
      <c r="C20" s="138">
        <v>0</v>
      </c>
      <c r="D20" s="139">
        <v>260</v>
      </c>
      <c r="E20" s="139">
        <v>30</v>
      </c>
      <c r="F20" s="139">
        <v>48</v>
      </c>
      <c r="G20" s="139">
        <v>47</v>
      </c>
      <c r="H20" s="141">
        <f t="shared" si="0"/>
        <v>97.91666666666666</v>
      </c>
      <c r="I20" s="139">
        <v>4</v>
      </c>
      <c r="J20" s="139">
        <v>4</v>
      </c>
      <c r="K20" s="139">
        <v>4</v>
      </c>
      <c r="L20" s="138">
        <f t="shared" si="1"/>
        <v>100</v>
      </c>
    </row>
    <row r="21" spans="1:12" ht="15">
      <c r="A21" s="138">
        <f>6!A22</f>
        <v>12</v>
      </c>
      <c r="B21" s="138" t="str">
        <f>6!B22</f>
        <v>Barito Utara</v>
      </c>
      <c r="C21" s="138">
        <v>0</v>
      </c>
      <c r="D21" s="139">
        <v>653</v>
      </c>
      <c r="E21" s="139">
        <v>44</v>
      </c>
      <c r="F21" s="139">
        <v>44</v>
      </c>
      <c r="G21" s="139">
        <v>14</v>
      </c>
      <c r="H21" s="141">
        <f t="shared" si="0"/>
        <v>31.818181818181817</v>
      </c>
      <c r="I21" s="139">
        <v>47</v>
      </c>
      <c r="J21" s="139">
        <v>47</v>
      </c>
      <c r="K21" s="139">
        <v>5</v>
      </c>
      <c r="L21" s="460">
        <f t="shared" si="1"/>
        <v>10.638297872340425</v>
      </c>
    </row>
    <row r="22" spans="1:12" ht="15">
      <c r="A22" s="138">
        <f>6!A23</f>
        <v>13</v>
      </c>
      <c r="B22" s="138" t="str">
        <f>6!B23</f>
        <v>Murung Raya</v>
      </c>
      <c r="C22" s="138">
        <v>0</v>
      </c>
      <c r="D22" s="139">
        <v>0</v>
      </c>
      <c r="E22" s="139">
        <v>132</v>
      </c>
      <c r="F22" s="139">
        <v>132</v>
      </c>
      <c r="G22" s="139">
        <v>132</v>
      </c>
      <c r="H22" s="141">
        <f t="shared" si="0"/>
        <v>100</v>
      </c>
      <c r="I22" s="139">
        <v>451</v>
      </c>
      <c r="J22" s="139">
        <v>451</v>
      </c>
      <c r="K22" s="139">
        <v>451</v>
      </c>
      <c r="L22" s="138">
        <f t="shared" si="1"/>
        <v>100</v>
      </c>
    </row>
    <row r="23" spans="1:12" ht="15">
      <c r="A23" s="138">
        <f>6!A24</f>
        <v>14</v>
      </c>
      <c r="B23" s="138" t="str">
        <f>6!B24</f>
        <v>Palangka Raya</v>
      </c>
      <c r="C23" s="138">
        <v>3</v>
      </c>
      <c r="D23" s="139">
        <v>0</v>
      </c>
      <c r="E23" s="139">
        <v>98</v>
      </c>
      <c r="F23" s="139">
        <v>111</v>
      </c>
      <c r="G23" s="139">
        <v>98</v>
      </c>
      <c r="H23" s="141">
        <f t="shared" si="0"/>
        <v>88.28828828828829</v>
      </c>
      <c r="I23" s="139">
        <v>280</v>
      </c>
      <c r="J23" s="139">
        <v>255</v>
      </c>
      <c r="K23" s="139">
        <v>255</v>
      </c>
      <c r="L23" s="138">
        <f t="shared" si="1"/>
        <v>100</v>
      </c>
    </row>
    <row r="24" spans="1:12" ht="15">
      <c r="A24" s="138"/>
      <c r="B24" s="138"/>
      <c r="C24" s="138"/>
      <c r="D24" s="139"/>
      <c r="E24" s="139"/>
      <c r="F24" s="139"/>
      <c r="G24" s="139"/>
      <c r="H24" s="143"/>
      <c r="I24" s="139"/>
      <c r="J24" s="139"/>
      <c r="K24" s="139"/>
      <c r="L24" s="138"/>
    </row>
    <row r="25" spans="1:13" ht="15">
      <c r="A25" s="144" t="s">
        <v>859</v>
      </c>
      <c r="B25" s="145"/>
      <c r="C25" s="110">
        <f>SUM(C10:C24)</f>
        <v>6</v>
      </c>
      <c r="D25" s="147">
        <f>SUM(D10:D24)</f>
        <v>4496</v>
      </c>
      <c r="E25" s="147">
        <f>SUM(E10:E24)</f>
        <v>1126</v>
      </c>
      <c r="F25" s="147">
        <f>SUM(F10:F24)</f>
        <v>1269</v>
      </c>
      <c r="G25" s="147">
        <f>SUM(G10:G24)</f>
        <v>1047</v>
      </c>
      <c r="H25" s="141">
        <f>G25/F25*100</f>
        <v>82.50591016548464</v>
      </c>
      <c r="I25" s="147">
        <f>SUM(I10:I24)</f>
        <v>34658</v>
      </c>
      <c r="J25" s="147">
        <f>SUM(J10:J24)</f>
        <v>13937</v>
      </c>
      <c r="K25" s="147">
        <f>SUM(K10:K24)</f>
        <v>13083</v>
      </c>
      <c r="L25" s="476">
        <f>K25/J25*100</f>
        <v>93.87242591662482</v>
      </c>
      <c r="M25" s="133"/>
    </row>
    <row r="26" spans="1:12" ht="18.75" thickBot="1">
      <c r="A26" s="148" t="s">
        <v>20</v>
      </c>
      <c r="B26" s="149"/>
      <c r="C26" s="364">
        <f>C25/(2!D28+2!E28+2!F28+2!K28+2!L28+2!M28)*100000</f>
        <v>0.8928212705739501</v>
      </c>
      <c r="D26" s="377"/>
      <c r="E26" s="207"/>
      <c r="F26" s="207"/>
      <c r="G26" s="207"/>
      <c r="H26" s="207"/>
      <c r="I26" s="207"/>
      <c r="J26" s="207"/>
      <c r="K26" s="207"/>
      <c r="L26" s="207"/>
    </row>
    <row r="27" spans="1:12" ht="18">
      <c r="A27" s="73"/>
      <c r="B27" s="150"/>
      <c r="C27" s="151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5">
      <c r="A28" s="525" t="s">
        <v>243</v>
      </c>
      <c r="B28" s="18"/>
      <c r="C28" s="18"/>
      <c r="L28" s="511"/>
    </row>
    <row r="29" ht="18">
      <c r="A29" s="14" t="s">
        <v>526</v>
      </c>
    </row>
    <row r="30" ht="15">
      <c r="B30" s="14" t="s">
        <v>278</v>
      </c>
    </row>
  </sheetData>
  <mergeCells count="7">
    <mergeCell ref="A3:L3"/>
    <mergeCell ref="I7:L7"/>
    <mergeCell ref="B7:B8"/>
    <mergeCell ref="A7:A8"/>
    <mergeCell ref="C7:C8"/>
    <mergeCell ref="A4:L4"/>
    <mergeCell ref="A5:L5"/>
  </mergeCells>
  <printOptions horizontalCentered="1"/>
  <pageMargins left="1.6929133858267718" right="0.9055118110236221" top="1.141732283464567" bottom="0.9055118110236221" header="0" footer="1.1811023622047245"/>
  <pageSetup fitToHeight="1" fitToWidth="1" horizontalDpi="300" verticalDpi="300" orientation="landscape" paperSize="9" scale="75" r:id="rId1"/>
  <headerFooter alignWithMargins="0">
    <oddFooter>&amp;C66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P34"/>
  <sheetViews>
    <sheetView view="pageBreakPreview" zoomScale="60" zoomScaleNormal="75" workbookViewId="0" topLeftCell="A1">
      <selection activeCell="E35" sqref="E35"/>
    </sheetView>
  </sheetViews>
  <sheetFormatPr defaultColWidth="9.140625" defaultRowHeight="12.75"/>
  <cols>
    <col min="1" max="1" width="5.7109375" style="14" customWidth="1"/>
    <col min="2" max="2" width="25.28125" style="14" customWidth="1"/>
    <col min="3" max="15" width="13.57421875" style="14" customWidth="1"/>
    <col min="16" max="16384" width="9.140625" style="14" customWidth="1"/>
  </cols>
  <sheetData>
    <row r="1" ht="15">
      <c r="A1" s="13" t="s">
        <v>472</v>
      </c>
    </row>
    <row r="2" spans="1:2" ht="15">
      <c r="A2" s="42" t="s">
        <v>1</v>
      </c>
      <c r="B2" s="42"/>
    </row>
    <row r="3" spans="1:15" ht="15">
      <c r="A3" s="641" t="s">
        <v>789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</row>
    <row r="4" spans="1:15" ht="15">
      <c r="A4" s="642" t="str">
        <f>1!A5</f>
        <v>PROVINSI KALIMANTAN TENGAH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</row>
    <row r="5" spans="1:15" ht="15">
      <c r="A5" s="642" t="str">
        <f>1!A6</f>
        <v>TAHUN 2009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</row>
    <row r="6" spans="1:11" ht="15.75" thickBo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5" ht="12.75" customHeight="1">
      <c r="A7" s="638" t="s">
        <v>2</v>
      </c>
      <c r="B7" s="638" t="s">
        <v>844</v>
      </c>
      <c r="C7" s="152" t="s">
        <v>305</v>
      </c>
      <c r="D7" s="152"/>
      <c r="E7" s="152"/>
      <c r="F7" s="549" t="s">
        <v>306</v>
      </c>
      <c r="G7" s="550"/>
      <c r="H7" s="551"/>
      <c r="I7" s="154" t="s">
        <v>16</v>
      </c>
      <c r="J7" s="155"/>
      <c r="K7" s="152"/>
      <c r="L7" s="568" t="s">
        <v>307</v>
      </c>
      <c r="M7" s="569"/>
      <c r="N7" s="569"/>
      <c r="O7" s="570"/>
    </row>
    <row r="8" spans="1:15" ht="76.5" customHeight="1">
      <c r="A8" s="639"/>
      <c r="B8" s="639"/>
      <c r="C8" s="161" t="s">
        <v>308</v>
      </c>
      <c r="D8" s="4" t="s">
        <v>316</v>
      </c>
      <c r="E8" s="2" t="s">
        <v>309</v>
      </c>
      <c r="F8" s="161" t="s">
        <v>308</v>
      </c>
      <c r="G8" s="4" t="s">
        <v>316</v>
      </c>
      <c r="H8" s="2" t="s">
        <v>309</v>
      </c>
      <c r="I8" s="161" t="s">
        <v>308</v>
      </c>
      <c r="J8" s="4" t="s">
        <v>316</v>
      </c>
      <c r="K8" s="2" t="s">
        <v>309</v>
      </c>
      <c r="L8" s="161" t="s">
        <v>308</v>
      </c>
      <c r="M8" s="162" t="s">
        <v>790</v>
      </c>
      <c r="N8" s="2" t="s">
        <v>791</v>
      </c>
      <c r="O8" s="4" t="s">
        <v>309</v>
      </c>
    </row>
    <row r="9" spans="1:15" ht="15">
      <c r="A9" s="59">
        <v>1</v>
      </c>
      <c r="B9" s="137">
        <v>2</v>
      </c>
      <c r="C9" s="59">
        <v>3</v>
      </c>
      <c r="D9" s="137">
        <v>4</v>
      </c>
      <c r="E9" s="137">
        <v>5</v>
      </c>
      <c r="F9" s="59">
        <v>6</v>
      </c>
      <c r="G9" s="137">
        <v>7</v>
      </c>
      <c r="H9" s="59">
        <v>8</v>
      </c>
      <c r="I9" s="137">
        <v>9</v>
      </c>
      <c r="J9" s="59">
        <v>10</v>
      </c>
      <c r="K9" s="137">
        <v>11</v>
      </c>
      <c r="L9" s="59">
        <v>12</v>
      </c>
      <c r="M9" s="137">
        <v>13</v>
      </c>
      <c r="N9" s="59">
        <v>14</v>
      </c>
      <c r="O9" s="59">
        <v>15</v>
      </c>
    </row>
    <row r="10" spans="1:15" ht="15">
      <c r="A10" s="138">
        <f>6!A11</f>
        <v>1</v>
      </c>
      <c r="B10" s="138" t="str">
        <f>6!B11</f>
        <v>Kotawaringin Barat</v>
      </c>
      <c r="C10" s="138">
        <v>3</v>
      </c>
      <c r="D10" s="142">
        <v>0</v>
      </c>
      <c r="E10" s="142">
        <f>D10/C10*100</f>
        <v>0</v>
      </c>
      <c r="F10" s="138">
        <v>42</v>
      </c>
      <c r="G10" s="142">
        <v>42</v>
      </c>
      <c r="H10" s="142">
        <f>G10/F10*100</f>
        <v>100</v>
      </c>
      <c r="I10" s="138">
        <v>455</v>
      </c>
      <c r="J10" s="142">
        <v>455</v>
      </c>
      <c r="K10" s="142">
        <f>J10/I10*100</f>
        <v>100</v>
      </c>
      <c r="L10" s="140">
        <v>7052</v>
      </c>
      <c r="M10" s="140">
        <v>3256</v>
      </c>
      <c r="N10" s="140">
        <v>3256</v>
      </c>
      <c r="O10" s="476">
        <f aca="true" t="shared" si="0" ref="O10:O23">N10/M10*100</f>
        <v>100</v>
      </c>
    </row>
    <row r="11" spans="1:15" ht="15">
      <c r="A11" s="138">
        <f>6!A12</f>
        <v>2</v>
      </c>
      <c r="B11" s="138" t="str">
        <f>6!B12</f>
        <v>Lamandau</v>
      </c>
      <c r="C11" s="138">
        <f>0</f>
        <v>0</v>
      </c>
      <c r="D11" s="138">
        <f>0</f>
        <v>0</v>
      </c>
      <c r="E11" s="138">
        <v>0</v>
      </c>
      <c r="F11" s="138">
        <f>0</f>
        <v>0</v>
      </c>
      <c r="G11" s="138">
        <f>0</f>
        <v>0</v>
      </c>
      <c r="H11" s="138">
        <v>0</v>
      </c>
      <c r="I11" s="138">
        <v>9</v>
      </c>
      <c r="J11" s="138">
        <v>9</v>
      </c>
      <c r="K11" s="138">
        <f aca="true" t="shared" si="1" ref="K11:K25">J11/I11*100</f>
        <v>100</v>
      </c>
      <c r="L11" s="139">
        <v>2442</v>
      </c>
      <c r="M11" s="139">
        <v>1017</v>
      </c>
      <c r="N11" s="139">
        <v>1017</v>
      </c>
      <c r="O11" s="460">
        <f t="shared" si="0"/>
        <v>100</v>
      </c>
    </row>
    <row r="12" spans="1:16" ht="15.75">
      <c r="A12" s="138">
        <f>6!A13</f>
        <v>3</v>
      </c>
      <c r="B12" s="138" t="str">
        <f>6!B13</f>
        <v>Sukamara</v>
      </c>
      <c r="C12" s="138">
        <v>0</v>
      </c>
      <c r="D12" s="138">
        <v>0</v>
      </c>
      <c r="E12" s="138">
        <v>0</v>
      </c>
      <c r="F12" s="138">
        <v>23</v>
      </c>
      <c r="G12" s="138">
        <v>23</v>
      </c>
      <c r="H12" s="138">
        <f>G12/F12*100</f>
        <v>100</v>
      </c>
      <c r="I12" s="138">
        <v>45</v>
      </c>
      <c r="J12" s="138">
        <v>45</v>
      </c>
      <c r="K12" s="138">
        <f t="shared" si="1"/>
        <v>100</v>
      </c>
      <c r="L12" s="139">
        <v>1577</v>
      </c>
      <c r="M12" s="139">
        <v>844</v>
      </c>
      <c r="N12" s="139">
        <v>844</v>
      </c>
      <c r="O12" s="460">
        <f t="shared" si="0"/>
        <v>100</v>
      </c>
      <c r="P12" s="193"/>
    </row>
    <row r="13" spans="1:15" ht="15">
      <c r="A13" s="138">
        <f>6!A14</f>
        <v>4</v>
      </c>
      <c r="B13" s="138" t="str">
        <f>6!B14</f>
        <v>Kotawaringin Timur</v>
      </c>
      <c r="C13" s="138">
        <v>21</v>
      </c>
      <c r="D13" s="138">
        <v>12</v>
      </c>
      <c r="E13" s="460">
        <f>D13/C13*100</f>
        <v>57.14285714285714</v>
      </c>
      <c r="F13" s="138">
        <v>83</v>
      </c>
      <c r="G13" s="138">
        <v>83</v>
      </c>
      <c r="H13" s="138">
        <f>G13/F13*100</f>
        <v>100</v>
      </c>
      <c r="I13" s="138">
        <v>468</v>
      </c>
      <c r="J13" s="138">
        <v>468</v>
      </c>
      <c r="K13" s="138">
        <f t="shared" si="1"/>
        <v>100</v>
      </c>
      <c r="L13" s="139">
        <v>11732</v>
      </c>
      <c r="M13" s="139">
        <v>5973</v>
      </c>
      <c r="N13" s="139">
        <v>5973</v>
      </c>
      <c r="O13" s="460">
        <f t="shared" si="0"/>
        <v>100</v>
      </c>
    </row>
    <row r="14" spans="1:15" ht="15">
      <c r="A14" s="138">
        <f>6!A15</f>
        <v>5</v>
      </c>
      <c r="B14" s="138" t="str">
        <f>6!B15</f>
        <v>Seruyan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H14" s="138">
        <v>0</v>
      </c>
      <c r="I14" s="138">
        <v>32</v>
      </c>
      <c r="J14" s="138">
        <v>32</v>
      </c>
      <c r="K14" s="138">
        <f t="shared" si="1"/>
        <v>100</v>
      </c>
      <c r="L14" s="139">
        <v>1400</v>
      </c>
      <c r="M14" s="139">
        <v>1400</v>
      </c>
      <c r="N14" s="139">
        <v>1222</v>
      </c>
      <c r="O14" s="460">
        <f t="shared" si="0"/>
        <v>87.28571428571429</v>
      </c>
    </row>
    <row r="15" spans="1:15" ht="15">
      <c r="A15" s="138">
        <f>6!A16</f>
        <v>6</v>
      </c>
      <c r="B15" s="138" t="str">
        <f>6!B16</f>
        <v>Katingan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5</v>
      </c>
      <c r="J15" s="138">
        <v>5</v>
      </c>
      <c r="K15" s="138">
        <f t="shared" si="1"/>
        <v>100</v>
      </c>
      <c r="L15" s="139">
        <v>6363</v>
      </c>
      <c r="M15" s="139">
        <v>2691</v>
      </c>
      <c r="N15" s="139">
        <v>2691</v>
      </c>
      <c r="O15" s="460">
        <f t="shared" si="0"/>
        <v>100</v>
      </c>
    </row>
    <row r="16" spans="1:15" ht="15">
      <c r="A16" s="138">
        <f>6!A17</f>
        <v>7</v>
      </c>
      <c r="B16" s="138" t="str">
        <f>6!B17</f>
        <v>Kapuas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131</v>
      </c>
      <c r="J16" s="138">
        <v>122</v>
      </c>
      <c r="K16" s="460">
        <f t="shared" si="1"/>
        <v>93.12977099236642</v>
      </c>
      <c r="L16" s="139">
        <v>8996</v>
      </c>
      <c r="M16" s="139">
        <v>3654</v>
      </c>
      <c r="N16" s="139">
        <v>3635</v>
      </c>
      <c r="O16" s="460">
        <f t="shared" si="0"/>
        <v>99.48002189381499</v>
      </c>
    </row>
    <row r="17" spans="1:15" ht="15">
      <c r="A17" s="138">
        <f>6!A18</f>
        <v>8</v>
      </c>
      <c r="B17" s="138" t="str">
        <f>6!B18</f>
        <v>Pulang Pisau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14</v>
      </c>
      <c r="J17" s="138">
        <v>14</v>
      </c>
      <c r="K17" s="138">
        <f t="shared" si="1"/>
        <v>100</v>
      </c>
      <c r="L17" s="139">
        <v>3192</v>
      </c>
      <c r="M17" s="139">
        <v>1164</v>
      </c>
      <c r="N17" s="139">
        <v>1164</v>
      </c>
      <c r="O17" s="460">
        <f t="shared" si="0"/>
        <v>100</v>
      </c>
    </row>
    <row r="18" spans="1:15" ht="15">
      <c r="A18" s="138">
        <f>6!A19</f>
        <v>9</v>
      </c>
      <c r="B18" s="138" t="str">
        <f>6!B19</f>
        <v>Gunung Mas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5</v>
      </c>
      <c r="J18" s="138">
        <v>5</v>
      </c>
      <c r="K18" s="138">
        <f t="shared" si="1"/>
        <v>100</v>
      </c>
      <c r="L18" s="139">
        <v>2532</v>
      </c>
      <c r="M18" s="139">
        <v>2040</v>
      </c>
      <c r="N18" s="139">
        <v>1280</v>
      </c>
      <c r="O18" s="460">
        <f t="shared" si="0"/>
        <v>62.745098039215684</v>
      </c>
    </row>
    <row r="19" spans="1:15" ht="15">
      <c r="A19" s="138">
        <f>6!A20</f>
        <v>10</v>
      </c>
      <c r="B19" s="138" t="str">
        <f>6!B20</f>
        <v>Barito Selatan</v>
      </c>
      <c r="C19" s="138">
        <v>1</v>
      </c>
      <c r="D19" s="138">
        <v>0</v>
      </c>
      <c r="E19" s="138">
        <f>D19/C19*100</f>
        <v>0</v>
      </c>
      <c r="F19" s="138">
        <v>0</v>
      </c>
      <c r="G19" s="138">
        <v>0</v>
      </c>
      <c r="H19" s="138">
        <v>0</v>
      </c>
      <c r="I19" s="138">
        <v>8</v>
      </c>
      <c r="J19" s="138">
        <v>8</v>
      </c>
      <c r="K19" s="138">
        <f t="shared" si="1"/>
        <v>100</v>
      </c>
      <c r="L19" s="139">
        <v>3823</v>
      </c>
      <c r="M19" s="139">
        <v>1982</v>
      </c>
      <c r="N19" s="139">
        <v>1982</v>
      </c>
      <c r="O19" s="460">
        <f t="shared" si="0"/>
        <v>100</v>
      </c>
    </row>
    <row r="20" spans="1:15" ht="15">
      <c r="A20" s="138">
        <f>6!A21</f>
        <v>11</v>
      </c>
      <c r="B20" s="138" t="str">
        <f>6!B21</f>
        <v>Barito Timur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4</v>
      </c>
      <c r="J20" s="138">
        <v>4</v>
      </c>
      <c r="K20" s="138">
        <f t="shared" si="1"/>
        <v>100</v>
      </c>
      <c r="L20" s="139">
        <v>3313</v>
      </c>
      <c r="M20" s="139">
        <v>3313</v>
      </c>
      <c r="N20" s="139">
        <v>3307</v>
      </c>
      <c r="O20" s="460">
        <f t="shared" si="0"/>
        <v>99.81889526109266</v>
      </c>
    </row>
    <row r="21" spans="1:15" ht="15">
      <c r="A21" s="138">
        <f>6!A22</f>
        <v>12</v>
      </c>
      <c r="B21" s="138" t="str">
        <f>6!B22</f>
        <v>Barito Utara</v>
      </c>
      <c r="C21" s="138">
        <v>0</v>
      </c>
      <c r="D21" s="138">
        <v>0</v>
      </c>
      <c r="E21" s="138">
        <v>0</v>
      </c>
      <c r="F21" s="138">
        <v>15</v>
      </c>
      <c r="G21" s="138">
        <v>15</v>
      </c>
      <c r="H21" s="138">
        <f>G21/F21*100</f>
        <v>100</v>
      </c>
      <c r="I21" s="138">
        <v>20</v>
      </c>
      <c r="J21" s="138">
        <v>20</v>
      </c>
      <c r="K21" s="138">
        <f t="shared" si="1"/>
        <v>100</v>
      </c>
      <c r="L21" s="139">
        <v>5568</v>
      </c>
      <c r="M21" s="139" t="s">
        <v>694</v>
      </c>
      <c r="N21" s="139" t="s">
        <v>694</v>
      </c>
      <c r="O21" s="139" t="s">
        <v>694</v>
      </c>
    </row>
    <row r="22" spans="1:15" ht="15">
      <c r="A22" s="138">
        <f>6!A23</f>
        <v>13</v>
      </c>
      <c r="B22" s="138" t="str">
        <f>6!B23</f>
        <v>Murung Raya</v>
      </c>
      <c r="C22" s="138">
        <v>0</v>
      </c>
      <c r="D22" s="138">
        <v>0</v>
      </c>
      <c r="E22" s="138">
        <v>0</v>
      </c>
      <c r="F22" s="138">
        <v>15</v>
      </c>
      <c r="G22" s="138">
        <v>15</v>
      </c>
      <c r="H22" s="138">
        <f>G22/F22*100</f>
        <v>100</v>
      </c>
      <c r="I22" s="138">
        <v>13</v>
      </c>
      <c r="J22" s="138">
        <v>13</v>
      </c>
      <c r="K22" s="138">
        <f t="shared" si="1"/>
        <v>100</v>
      </c>
      <c r="L22" s="139">
        <v>3782</v>
      </c>
      <c r="M22" s="139">
        <v>1593</v>
      </c>
      <c r="N22" s="139">
        <v>1593</v>
      </c>
      <c r="O22" s="460">
        <f t="shared" si="0"/>
        <v>100</v>
      </c>
    </row>
    <row r="23" spans="1:15" ht="15">
      <c r="A23" s="138">
        <f>6!A24</f>
        <v>14</v>
      </c>
      <c r="B23" s="138" t="str">
        <f>6!B24</f>
        <v>Palangka Raya</v>
      </c>
      <c r="C23" s="138">
        <v>0</v>
      </c>
      <c r="D23" s="138">
        <v>0</v>
      </c>
      <c r="E23" s="138">
        <v>0</v>
      </c>
      <c r="F23" s="138">
        <v>28</v>
      </c>
      <c r="G23" s="138">
        <v>19</v>
      </c>
      <c r="H23" s="460">
        <f>G23/F23*100</f>
        <v>67.85714285714286</v>
      </c>
      <c r="I23" s="138">
        <v>123</v>
      </c>
      <c r="J23" s="138">
        <v>123</v>
      </c>
      <c r="K23" s="138">
        <f>J23/I23*100</f>
        <v>100</v>
      </c>
      <c r="L23" s="139">
        <v>5087</v>
      </c>
      <c r="M23" s="139">
        <v>4920</v>
      </c>
      <c r="N23" s="139">
        <v>4920</v>
      </c>
      <c r="O23" s="460">
        <f t="shared" si="0"/>
        <v>100</v>
      </c>
    </row>
    <row r="24" spans="1:15" ht="15">
      <c r="A24" s="138"/>
      <c r="B24" s="138"/>
      <c r="C24" s="138"/>
      <c r="D24" s="138"/>
      <c r="E24" s="158"/>
      <c r="F24" s="138"/>
      <c r="G24" s="138"/>
      <c r="H24" s="158"/>
      <c r="I24" s="138"/>
      <c r="J24" s="138"/>
      <c r="K24" s="158"/>
      <c r="L24" s="139"/>
      <c r="M24" s="139"/>
      <c r="N24" s="139"/>
      <c r="O24" s="158"/>
    </row>
    <row r="25" spans="1:15" ht="15">
      <c r="A25" s="144" t="s">
        <v>859</v>
      </c>
      <c r="B25" s="146"/>
      <c r="C25" s="159">
        <f>SUM(C10:C24)</f>
        <v>25</v>
      </c>
      <c r="D25" s="159">
        <f>SUM(D10:D24)</f>
        <v>12</v>
      </c>
      <c r="E25" s="476">
        <f>D25/C25*100</f>
        <v>48</v>
      </c>
      <c r="F25" s="159">
        <f>SUM(F10:F24)</f>
        <v>206</v>
      </c>
      <c r="G25" s="159">
        <f>SUM(G10:G24)</f>
        <v>197</v>
      </c>
      <c r="H25" s="476">
        <f>G25/F25*100</f>
        <v>95.63106796116504</v>
      </c>
      <c r="I25" s="159">
        <f>SUM(I10:I24)</f>
        <v>1332</v>
      </c>
      <c r="J25" s="159">
        <f>SUM(J10:J24)</f>
        <v>1323</v>
      </c>
      <c r="K25" s="476">
        <f t="shared" si="1"/>
        <v>99.32432432432432</v>
      </c>
      <c r="L25" s="147">
        <f>SUM(L10:L24)</f>
        <v>66859</v>
      </c>
      <c r="M25" s="147">
        <f>SUM(M10:M24)</f>
        <v>33847</v>
      </c>
      <c r="N25" s="147">
        <f>SUM(N10:N24)</f>
        <v>32884</v>
      </c>
      <c r="O25" s="476">
        <f>N25/M25*100</f>
        <v>97.15484385617631</v>
      </c>
    </row>
    <row r="26" spans="1:15" ht="18.75" thickBot="1">
      <c r="A26" s="148" t="s">
        <v>20</v>
      </c>
      <c r="B26" s="149"/>
      <c r="C26" s="401"/>
      <c r="D26" s="377"/>
      <c r="E26" s="207"/>
      <c r="F26" s="207"/>
      <c r="G26" s="207"/>
      <c r="H26" s="207"/>
      <c r="I26" s="160">
        <f>(I25/1!G27)*100000</f>
        <v>60.99828362186926</v>
      </c>
      <c r="J26" s="207"/>
      <c r="K26" s="207"/>
      <c r="L26" s="160">
        <f>(L25/1!G27)*1000</f>
        <v>30.617749584643818</v>
      </c>
      <c r="M26" s="400"/>
      <c r="N26" s="207"/>
      <c r="O26" s="207"/>
    </row>
    <row r="27" spans="1:15" ht="18">
      <c r="A27" s="73"/>
      <c r="B27" s="150"/>
      <c r="C27" s="151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1:15" ht="15">
      <c r="A28" s="525" t="s">
        <v>243</v>
      </c>
      <c r="C28" s="18"/>
      <c r="D28" s="18"/>
      <c r="E28" s="18"/>
      <c r="F28" s="18"/>
      <c r="G28" s="18"/>
      <c r="H28" s="18"/>
      <c r="I28" s="18"/>
      <c r="J28" s="18"/>
      <c r="K28" s="18"/>
      <c r="O28" s="511"/>
    </row>
    <row r="29" spans="1:2" ht="15">
      <c r="A29" s="14" t="s">
        <v>714</v>
      </c>
      <c r="B29" s="14" t="s">
        <v>278</v>
      </c>
    </row>
    <row r="30" spans="1:2" ht="15">
      <c r="A30" s="14" t="s">
        <v>694</v>
      </c>
      <c r="B30" s="390" t="s">
        <v>965</v>
      </c>
    </row>
    <row r="31" spans="1:2" ht="15.75">
      <c r="A31" s="133"/>
      <c r="B31" s="193"/>
    </row>
    <row r="33" spans="2:3" ht="15">
      <c r="B33" s="478"/>
      <c r="C33" s="548"/>
    </row>
    <row r="34" spans="2:3" ht="15">
      <c r="B34" s="478"/>
      <c r="C34" s="548"/>
    </row>
  </sheetData>
  <mergeCells count="8">
    <mergeCell ref="C33:C34"/>
    <mergeCell ref="A3:O3"/>
    <mergeCell ref="L7:O7"/>
    <mergeCell ref="A7:A8"/>
    <mergeCell ref="F7:H7"/>
    <mergeCell ref="B7:B8"/>
    <mergeCell ref="A4:O4"/>
    <mergeCell ref="A5:O5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57" r:id="rId1"/>
  <headerFooter alignWithMargins="0">
    <oddFooter>&amp;C67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75" zoomScaleNormal="75" workbookViewId="0" topLeftCell="A1">
      <selection activeCell="E25" sqref="E25"/>
    </sheetView>
  </sheetViews>
  <sheetFormatPr defaultColWidth="9.140625" defaultRowHeight="12.75"/>
  <cols>
    <col min="1" max="1" width="5.7109375" style="14" customWidth="1"/>
    <col min="2" max="2" width="46.8515625" style="14" customWidth="1"/>
    <col min="3" max="7" width="17.8515625" style="14" customWidth="1"/>
    <col min="8" max="16384" width="9.140625" style="14" customWidth="1"/>
  </cols>
  <sheetData>
    <row r="1" ht="15">
      <c r="A1" s="13" t="s">
        <v>473</v>
      </c>
    </row>
    <row r="2" spans="1:2" ht="15">
      <c r="A2" s="42" t="s">
        <v>1</v>
      </c>
      <c r="B2" s="42"/>
    </row>
    <row r="3" spans="1:7" ht="15">
      <c r="A3" s="641" t="s">
        <v>311</v>
      </c>
      <c r="B3" s="641"/>
      <c r="C3" s="641"/>
      <c r="D3" s="641"/>
      <c r="E3" s="641"/>
      <c r="F3" s="641"/>
      <c r="G3" s="641"/>
    </row>
    <row r="4" spans="1:7" ht="15">
      <c r="A4" s="642" t="str">
        <f>1!A5</f>
        <v>PROVINSI KALIMANTAN TENGAH</v>
      </c>
      <c r="B4" s="642"/>
      <c r="C4" s="642"/>
      <c r="D4" s="642"/>
      <c r="E4" s="642"/>
      <c r="F4" s="642"/>
      <c r="G4" s="642"/>
    </row>
    <row r="5" spans="1:7" ht="15">
      <c r="A5" s="642" t="str">
        <f>1!A6</f>
        <v>TAHUN 2009</v>
      </c>
      <c r="B5" s="642"/>
      <c r="C5" s="642"/>
      <c r="D5" s="642"/>
      <c r="E5" s="642"/>
      <c r="F5" s="642"/>
      <c r="G5" s="642"/>
    </row>
    <row r="6" spans="1:8" ht="15.75" thickBot="1">
      <c r="A6" s="106"/>
      <c r="B6" s="106"/>
      <c r="C6" s="106"/>
      <c r="D6" s="106"/>
      <c r="E6" s="106"/>
      <c r="F6" s="106"/>
      <c r="G6" s="106"/>
      <c r="H6" s="18"/>
    </row>
    <row r="7" spans="1:7" ht="12.75" customHeight="1">
      <c r="A7" s="638" t="s">
        <v>2</v>
      </c>
      <c r="B7" s="637" t="s">
        <v>844</v>
      </c>
      <c r="C7" s="163" t="s">
        <v>15</v>
      </c>
      <c r="D7" s="163"/>
      <c r="E7" s="163"/>
      <c r="F7" s="163"/>
      <c r="G7" s="163"/>
    </row>
    <row r="8" spans="1:7" ht="15">
      <c r="A8" s="639"/>
      <c r="B8" s="639"/>
      <c r="C8" s="59" t="s">
        <v>18</v>
      </c>
      <c r="D8" s="59" t="s">
        <v>312</v>
      </c>
      <c r="E8" s="157" t="s">
        <v>313</v>
      </c>
      <c r="F8" s="59" t="s">
        <v>299</v>
      </c>
      <c r="G8" s="157" t="s">
        <v>310</v>
      </c>
    </row>
    <row r="9" spans="1:7" ht="15">
      <c r="A9" s="59">
        <v>1</v>
      </c>
      <c r="B9" s="137">
        <v>2</v>
      </c>
      <c r="C9" s="137">
        <v>3</v>
      </c>
      <c r="D9" s="59">
        <v>4</v>
      </c>
      <c r="E9" s="59">
        <v>5</v>
      </c>
      <c r="F9" s="59">
        <v>6</v>
      </c>
      <c r="G9" s="59">
        <v>7</v>
      </c>
    </row>
    <row r="10" spans="1:7" ht="15">
      <c r="A10" s="138">
        <f>6!A11</f>
        <v>1</v>
      </c>
      <c r="B10" s="138" t="str">
        <f>6!B11</f>
        <v>Kotawaringin Barat</v>
      </c>
      <c r="C10" s="139">
        <v>7923</v>
      </c>
      <c r="D10" s="140">
        <v>2826</v>
      </c>
      <c r="E10" s="140">
        <f>D10/C10*100</f>
        <v>35.668307459295725</v>
      </c>
      <c r="F10" s="140">
        <v>7923</v>
      </c>
      <c r="G10" s="476">
        <f aca="true" t="shared" si="0" ref="G10:G23">F10/C10*100</f>
        <v>100</v>
      </c>
    </row>
    <row r="11" spans="1:8" ht="15">
      <c r="A11" s="138">
        <f>6!A12</f>
        <v>2</v>
      </c>
      <c r="B11" s="138" t="str">
        <f>6!B12</f>
        <v>Lamandau</v>
      </c>
      <c r="C11" s="139">
        <f>1996+435</f>
        <v>2431</v>
      </c>
      <c r="D11" s="139">
        <v>435</v>
      </c>
      <c r="E11" s="139">
        <f>D11/C11*100</f>
        <v>17.893870835047306</v>
      </c>
      <c r="F11" s="139">
        <v>2431</v>
      </c>
      <c r="G11" s="460">
        <f t="shared" si="0"/>
        <v>100</v>
      </c>
      <c r="H11" s="466"/>
    </row>
    <row r="12" spans="1:9" ht="15">
      <c r="A12" s="138">
        <f>6!A13</f>
        <v>3</v>
      </c>
      <c r="B12" s="138" t="str">
        <f>6!B13</f>
        <v>Sukamara</v>
      </c>
      <c r="C12" s="139">
        <f>1407+435</f>
        <v>1842</v>
      </c>
      <c r="D12" s="139">
        <v>435</v>
      </c>
      <c r="E12" s="139">
        <f aca="true" t="shared" si="1" ref="E12:E25">D12/C12*100</f>
        <v>23.615635179153095</v>
      </c>
      <c r="F12" s="139">
        <v>1842</v>
      </c>
      <c r="G12" s="499">
        <f t="shared" si="0"/>
        <v>100</v>
      </c>
      <c r="H12" s="466"/>
      <c r="I12" s="466"/>
    </row>
    <row r="13" spans="1:7" ht="15">
      <c r="A13" s="138">
        <f>6!A14</f>
        <v>4</v>
      </c>
      <c r="B13" s="138" t="str">
        <f>6!B14</f>
        <v>Kotawaringin Timur</v>
      </c>
      <c r="C13" s="139">
        <v>985</v>
      </c>
      <c r="D13" s="139">
        <v>287</v>
      </c>
      <c r="E13" s="139">
        <f t="shared" si="1"/>
        <v>29.13705583756345</v>
      </c>
      <c r="F13" s="139">
        <v>634</v>
      </c>
      <c r="G13" s="460">
        <f t="shared" si="0"/>
        <v>64.36548223350253</v>
      </c>
    </row>
    <row r="14" spans="1:7" ht="15">
      <c r="A14" s="138">
        <f>6!A15</f>
        <v>5</v>
      </c>
      <c r="B14" s="138" t="str">
        <f>6!B15</f>
        <v>Seruyan</v>
      </c>
      <c r="C14" s="139">
        <v>1075</v>
      </c>
      <c r="D14" s="139">
        <v>6</v>
      </c>
      <c r="E14" s="139">
        <f t="shared" si="1"/>
        <v>0.5581395348837209</v>
      </c>
      <c r="F14" s="139">
        <v>1075</v>
      </c>
      <c r="G14" s="460">
        <f t="shared" si="0"/>
        <v>100</v>
      </c>
    </row>
    <row r="15" spans="1:9" ht="15">
      <c r="A15" s="138">
        <f>6!A16</f>
        <v>6</v>
      </c>
      <c r="B15" s="138" t="str">
        <f>6!B16</f>
        <v>Katingan</v>
      </c>
      <c r="C15" s="139">
        <f>3887+260</f>
        <v>4147</v>
      </c>
      <c r="D15" s="139">
        <v>260</v>
      </c>
      <c r="E15" s="139">
        <f t="shared" si="1"/>
        <v>6.269592476489027</v>
      </c>
      <c r="F15" s="139">
        <v>4147</v>
      </c>
      <c r="G15" s="460">
        <f t="shared" si="0"/>
        <v>100</v>
      </c>
      <c r="I15" s="466"/>
    </row>
    <row r="16" spans="1:9" ht="15">
      <c r="A16" s="138">
        <f>6!A17</f>
        <v>7</v>
      </c>
      <c r="B16" s="138" t="str">
        <f>6!B17</f>
        <v>Kapuas</v>
      </c>
      <c r="C16" s="139">
        <f>3997+952</f>
        <v>4949</v>
      </c>
      <c r="D16" s="139">
        <v>952</v>
      </c>
      <c r="E16" s="139">
        <f t="shared" si="1"/>
        <v>19.236209335219236</v>
      </c>
      <c r="F16" s="139">
        <v>4949</v>
      </c>
      <c r="G16" s="460">
        <f t="shared" si="0"/>
        <v>100</v>
      </c>
      <c r="I16" s="466"/>
    </row>
    <row r="17" spans="1:8" ht="15">
      <c r="A17" s="138">
        <f>6!A18</f>
        <v>8</v>
      </c>
      <c r="B17" s="138" t="str">
        <f>6!B18</f>
        <v>Pulang Pisau</v>
      </c>
      <c r="C17" s="139">
        <f>991+26</f>
        <v>1017</v>
      </c>
      <c r="D17" s="139">
        <v>26</v>
      </c>
      <c r="E17" s="139">
        <f t="shared" si="1"/>
        <v>2.55653883972468</v>
      </c>
      <c r="F17" s="139">
        <v>1017</v>
      </c>
      <c r="G17" s="460">
        <f t="shared" si="0"/>
        <v>100</v>
      </c>
      <c r="H17" s="466"/>
    </row>
    <row r="18" spans="1:7" ht="15">
      <c r="A18" s="138">
        <f>6!A19</f>
        <v>9</v>
      </c>
      <c r="B18" s="138" t="str">
        <f>6!B19</f>
        <v>Gunung Mas</v>
      </c>
      <c r="C18" s="139">
        <v>362</v>
      </c>
      <c r="D18" s="139">
        <v>59</v>
      </c>
      <c r="E18" s="139">
        <f t="shared" si="1"/>
        <v>16.298342541436465</v>
      </c>
      <c r="F18" s="139">
        <v>362</v>
      </c>
      <c r="G18" s="460">
        <f t="shared" si="0"/>
        <v>100</v>
      </c>
    </row>
    <row r="19" spans="1:7" ht="15">
      <c r="A19" s="138">
        <f>6!A20</f>
        <v>10</v>
      </c>
      <c r="B19" s="138" t="str">
        <f>6!B20</f>
        <v>Barito Selatan</v>
      </c>
      <c r="C19" s="139">
        <v>4227</v>
      </c>
      <c r="D19" s="139">
        <v>671</v>
      </c>
      <c r="E19" s="139">
        <f t="shared" si="1"/>
        <v>15.874142417790397</v>
      </c>
      <c r="F19" s="139">
        <v>566</v>
      </c>
      <c r="G19" s="460">
        <f t="shared" si="0"/>
        <v>13.390111189969245</v>
      </c>
    </row>
    <row r="20" spans="1:7" ht="15">
      <c r="A20" s="138">
        <f>6!A21</f>
        <v>11</v>
      </c>
      <c r="B20" s="138" t="str">
        <f>6!B21</f>
        <v>Barito Timur</v>
      </c>
      <c r="C20" s="139">
        <v>2609</v>
      </c>
      <c r="D20" s="139">
        <v>1183</v>
      </c>
      <c r="E20" s="139">
        <f t="shared" si="1"/>
        <v>45.34304331161365</v>
      </c>
      <c r="F20" s="139">
        <v>2108</v>
      </c>
      <c r="G20" s="460">
        <f t="shared" si="0"/>
        <v>80.79724032196243</v>
      </c>
    </row>
    <row r="21" spans="1:7" ht="15">
      <c r="A21" s="138">
        <f>6!A22</f>
        <v>12</v>
      </c>
      <c r="B21" s="138" t="str">
        <f>6!B22</f>
        <v>Barito Utara</v>
      </c>
      <c r="C21" s="139">
        <v>1516</v>
      </c>
      <c r="D21" s="139">
        <v>0</v>
      </c>
      <c r="E21" s="139">
        <f t="shared" si="1"/>
        <v>0</v>
      </c>
      <c r="F21" s="139">
        <v>1516</v>
      </c>
      <c r="G21" s="460">
        <f t="shared" si="0"/>
        <v>100</v>
      </c>
    </row>
    <row r="22" spans="1:7" ht="15">
      <c r="A22" s="138">
        <f>6!A23</f>
        <v>13</v>
      </c>
      <c r="B22" s="138" t="str">
        <f>6!B23</f>
        <v>Murung Raya</v>
      </c>
      <c r="C22" s="139">
        <v>3662</v>
      </c>
      <c r="D22" s="139">
        <v>544</v>
      </c>
      <c r="E22" s="139">
        <f t="shared" si="1"/>
        <v>14.855270344074276</v>
      </c>
      <c r="F22" s="139">
        <v>544</v>
      </c>
      <c r="G22" s="460">
        <f t="shared" si="0"/>
        <v>14.855270344074276</v>
      </c>
    </row>
    <row r="23" spans="1:8" ht="15">
      <c r="A23" s="138">
        <f>6!A24</f>
        <v>14</v>
      </c>
      <c r="B23" s="138" t="str">
        <f>6!B24</f>
        <v>Palangka Raya</v>
      </c>
      <c r="C23" s="139">
        <f>117+477</f>
        <v>594</v>
      </c>
      <c r="D23" s="139">
        <v>477</v>
      </c>
      <c r="E23" s="139">
        <f t="shared" si="1"/>
        <v>80.3030303030303</v>
      </c>
      <c r="F23" s="139">
        <v>594</v>
      </c>
      <c r="G23" s="460">
        <f t="shared" si="0"/>
        <v>100</v>
      </c>
      <c r="H23" s="466"/>
    </row>
    <row r="24" spans="1:7" ht="15">
      <c r="A24" s="138"/>
      <c r="B24" s="138"/>
      <c r="C24" s="139"/>
      <c r="D24" s="139"/>
      <c r="E24" s="164"/>
      <c r="F24" s="139"/>
      <c r="G24" s="158"/>
    </row>
    <row r="25" spans="1:7" ht="15.75" thickBot="1">
      <c r="A25" s="165" t="s">
        <v>859</v>
      </c>
      <c r="B25" s="165"/>
      <c r="C25" s="166">
        <f>SUM(C10:C24)</f>
        <v>37339</v>
      </c>
      <c r="D25" s="166">
        <f>SUM(D10:D24)</f>
        <v>8161</v>
      </c>
      <c r="E25" s="167">
        <f t="shared" si="1"/>
        <v>21.85650392351161</v>
      </c>
      <c r="F25" s="167">
        <f>SUM(F10:F24)</f>
        <v>29708</v>
      </c>
      <c r="G25" s="494">
        <f>F25/C25*100</f>
        <v>79.56292348482819</v>
      </c>
    </row>
    <row r="26" spans="1:15" ht="15.75" thickBot="1">
      <c r="A26" s="148" t="s">
        <v>716</v>
      </c>
      <c r="B26" s="149"/>
      <c r="C26" s="386">
        <f>C25/1!G27*1000</f>
        <v>17.09921105222955</v>
      </c>
      <c r="D26" s="386">
        <f>D25/1!G27*1000</f>
        <v>3.7372897345200826</v>
      </c>
      <c r="E26" s="333"/>
      <c r="F26" s="207"/>
      <c r="G26" s="378"/>
      <c r="H26" s="73"/>
      <c r="I26" s="73"/>
      <c r="J26" s="73"/>
      <c r="K26" s="73"/>
      <c r="L26" s="73"/>
      <c r="M26" s="73"/>
      <c r="N26" s="73"/>
      <c r="O26" s="73"/>
    </row>
    <row r="27" spans="1:7" ht="15">
      <c r="A27" s="18"/>
      <c r="B27" s="18"/>
      <c r="C27" s="168"/>
      <c r="D27" s="18"/>
      <c r="E27" s="18"/>
      <c r="F27" s="18"/>
      <c r="G27" s="18"/>
    </row>
    <row r="28" spans="1:7" ht="15">
      <c r="A28" s="525" t="s">
        <v>243</v>
      </c>
      <c r="C28" s="18"/>
      <c r="D28" s="18"/>
      <c r="E28" s="18"/>
      <c r="F28" s="18"/>
      <c r="G28" s="511"/>
    </row>
    <row r="29" ht="15">
      <c r="A29" s="14" t="s">
        <v>1</v>
      </c>
    </row>
    <row r="30" spans="1:2" ht="15">
      <c r="A30" s="14" t="s">
        <v>715</v>
      </c>
      <c r="B30" s="14" t="s">
        <v>717</v>
      </c>
    </row>
    <row r="31" ht="15">
      <c r="B31" s="14" t="s">
        <v>718</v>
      </c>
    </row>
    <row r="34" spans="1:2" ht="15.75">
      <c r="A34" s="133"/>
      <c r="B34" s="193"/>
    </row>
    <row r="35" ht="15.75">
      <c r="B35" s="193"/>
    </row>
    <row r="36" ht="15.75">
      <c r="B36" s="193"/>
    </row>
  </sheetData>
  <mergeCells count="5">
    <mergeCell ref="A3:G3"/>
    <mergeCell ref="A4:G4"/>
    <mergeCell ref="A5:G5"/>
    <mergeCell ref="A7:A8"/>
    <mergeCell ref="B7:B8"/>
  </mergeCells>
  <printOptions horizontalCentered="1"/>
  <pageMargins left="1.6929133858267718" right="0.9055118110236221" top="1.141732283464567" bottom="0.9055118110236221" header="0" footer="1.1811023622047245"/>
  <pageSetup fitToHeight="1" fitToWidth="1" horizontalDpi="300" verticalDpi="300" orientation="landscape" paperSize="9" scale="83" r:id="rId1"/>
  <headerFooter alignWithMargins="0">
    <oddFooter>&amp;C68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H30"/>
  <sheetViews>
    <sheetView zoomScale="75" zoomScaleNormal="75" workbookViewId="0" topLeftCell="A1">
      <selection activeCell="D32" sqref="D32"/>
    </sheetView>
  </sheetViews>
  <sheetFormatPr defaultColWidth="9.140625" defaultRowHeight="12.75"/>
  <cols>
    <col min="1" max="1" width="5.7109375" style="14" customWidth="1"/>
    <col min="2" max="2" width="25.7109375" style="14" customWidth="1"/>
    <col min="3" max="8" width="20.00390625" style="14" customWidth="1"/>
    <col min="9" max="16384" width="9.140625" style="14" customWidth="1"/>
  </cols>
  <sheetData>
    <row r="1" spans="1:2" ht="15">
      <c r="A1" s="13" t="s">
        <v>474</v>
      </c>
      <c r="B1" s="13"/>
    </row>
    <row r="2" spans="1:2" ht="15">
      <c r="A2" s="42" t="s">
        <v>1</v>
      </c>
      <c r="B2" s="42"/>
    </row>
    <row r="3" spans="1:8" ht="15">
      <c r="A3" s="641" t="s">
        <v>314</v>
      </c>
      <c r="B3" s="641"/>
      <c r="C3" s="641"/>
      <c r="D3" s="641"/>
      <c r="E3" s="641"/>
      <c r="F3" s="641"/>
      <c r="G3" s="641"/>
      <c r="H3" s="641"/>
    </row>
    <row r="4" spans="1:8" ht="15">
      <c r="A4" s="642" t="str">
        <f>1!A5</f>
        <v>PROVINSI KALIMANTAN TENGAH</v>
      </c>
      <c r="B4" s="642"/>
      <c r="C4" s="642"/>
      <c r="D4" s="642"/>
      <c r="E4" s="642"/>
      <c r="F4" s="642"/>
      <c r="G4" s="642"/>
      <c r="H4" s="642"/>
    </row>
    <row r="5" spans="1:8" ht="15">
      <c r="A5" s="642" t="str">
        <f>1!A6</f>
        <v>TAHUN 2009</v>
      </c>
      <c r="B5" s="642"/>
      <c r="C5" s="642"/>
      <c r="D5" s="642"/>
      <c r="E5" s="642"/>
      <c r="F5" s="642"/>
      <c r="G5" s="642"/>
      <c r="H5" s="642"/>
    </row>
    <row r="6" spans="1:8" ht="15.75" thickBot="1">
      <c r="A6" s="106"/>
      <c r="B6" s="106"/>
      <c r="C6" s="106"/>
      <c r="D6" s="106"/>
      <c r="E6" s="106"/>
      <c r="F6" s="106"/>
      <c r="G6" s="106"/>
      <c r="H6" s="106"/>
    </row>
    <row r="7" spans="1:8" ht="15">
      <c r="A7" s="637" t="s">
        <v>2</v>
      </c>
      <c r="B7" s="638" t="s">
        <v>844</v>
      </c>
      <c r="C7" s="552" t="s">
        <v>315</v>
      </c>
      <c r="D7" s="553"/>
      <c r="E7" s="553"/>
      <c r="F7" s="553"/>
      <c r="G7" s="553"/>
      <c r="H7" s="554"/>
    </row>
    <row r="8" spans="1:8" ht="15">
      <c r="A8" s="639"/>
      <c r="B8" s="639"/>
      <c r="C8" s="59" t="s">
        <v>534</v>
      </c>
      <c r="D8" s="11" t="s">
        <v>536</v>
      </c>
      <c r="E8" s="59" t="s">
        <v>538</v>
      </c>
      <c r="F8" s="59" t="s">
        <v>535</v>
      </c>
      <c r="G8" s="59" t="s">
        <v>537</v>
      </c>
      <c r="H8" s="59" t="s">
        <v>539</v>
      </c>
    </row>
    <row r="9" spans="1:8" ht="15">
      <c r="A9" s="59">
        <v>1</v>
      </c>
      <c r="B9" s="137">
        <v>2</v>
      </c>
      <c r="C9" s="137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</row>
    <row r="10" spans="1:8" ht="15">
      <c r="A10" s="138">
        <f>6!A11</f>
        <v>1</v>
      </c>
      <c r="B10" s="138" t="str">
        <f>6!B11</f>
        <v>Kotawaringin Barat</v>
      </c>
      <c r="C10" s="140">
        <v>0</v>
      </c>
      <c r="D10" s="372">
        <v>0</v>
      </c>
      <c r="E10" s="140">
        <v>0</v>
      </c>
      <c r="F10" s="366">
        <v>5</v>
      </c>
      <c r="G10" s="140">
        <v>5</v>
      </c>
      <c r="H10" s="142">
        <f>G10*100/F10</f>
        <v>100</v>
      </c>
    </row>
    <row r="11" spans="1:8" ht="15">
      <c r="A11" s="138">
        <f>6!A12</f>
        <v>2</v>
      </c>
      <c r="B11" s="138" t="str">
        <f>6!B12</f>
        <v>Lamandau</v>
      </c>
      <c r="C11" s="139">
        <v>0</v>
      </c>
      <c r="D11" s="373">
        <v>0</v>
      </c>
      <c r="E11" s="139">
        <v>0</v>
      </c>
      <c r="F11" s="366">
        <v>0</v>
      </c>
      <c r="G11" s="139">
        <v>0</v>
      </c>
      <c r="H11" s="139">
        <v>0</v>
      </c>
    </row>
    <row r="12" spans="1:8" ht="15">
      <c r="A12" s="138">
        <f>6!A13</f>
        <v>3</v>
      </c>
      <c r="B12" s="138" t="str">
        <f>6!B13</f>
        <v>Sukamara</v>
      </c>
      <c r="C12" s="139">
        <v>0</v>
      </c>
      <c r="D12" s="373">
        <v>0</v>
      </c>
      <c r="E12" s="139">
        <v>0</v>
      </c>
      <c r="F12" s="366">
        <v>4</v>
      </c>
      <c r="G12" s="139">
        <v>3</v>
      </c>
      <c r="H12" s="138">
        <f aca="true" t="shared" si="0" ref="H12:H25">G12*100/F12</f>
        <v>75</v>
      </c>
    </row>
    <row r="13" spans="1:8" ht="15">
      <c r="A13" s="138">
        <f>6!A14</f>
        <v>4</v>
      </c>
      <c r="B13" s="138" t="str">
        <f>6!B14</f>
        <v>Kotawaringin Timur</v>
      </c>
      <c r="C13" s="139">
        <v>0</v>
      </c>
      <c r="D13" s="373">
        <v>0</v>
      </c>
      <c r="E13" s="139">
        <v>0</v>
      </c>
      <c r="F13" s="366">
        <v>22</v>
      </c>
      <c r="G13" s="139">
        <v>20</v>
      </c>
      <c r="H13" s="460">
        <f t="shared" si="0"/>
        <v>90.9090909090909</v>
      </c>
    </row>
    <row r="14" spans="1:8" ht="15">
      <c r="A14" s="138">
        <f>6!A15</f>
        <v>5</v>
      </c>
      <c r="B14" s="138" t="str">
        <f>6!B15</f>
        <v>Seruyan</v>
      </c>
      <c r="C14" s="139">
        <v>0</v>
      </c>
      <c r="D14" s="373">
        <v>0</v>
      </c>
      <c r="E14" s="139">
        <v>0</v>
      </c>
      <c r="F14" s="366">
        <v>10</v>
      </c>
      <c r="G14" s="139">
        <v>2</v>
      </c>
      <c r="H14" s="138">
        <f t="shared" si="0"/>
        <v>20</v>
      </c>
    </row>
    <row r="15" spans="1:8" ht="15">
      <c r="A15" s="138">
        <f>6!A16</f>
        <v>6</v>
      </c>
      <c r="B15" s="138" t="str">
        <f>6!B16</f>
        <v>Katingan</v>
      </c>
      <c r="C15" s="139">
        <v>0</v>
      </c>
      <c r="D15" s="373">
        <v>0</v>
      </c>
      <c r="E15" s="139">
        <v>0</v>
      </c>
      <c r="F15" s="366">
        <v>3</v>
      </c>
      <c r="G15" s="139">
        <v>3</v>
      </c>
      <c r="H15" s="138">
        <f t="shared" si="0"/>
        <v>100</v>
      </c>
    </row>
    <row r="16" spans="1:8" ht="15">
      <c r="A16" s="138">
        <f>6!A17</f>
        <v>7</v>
      </c>
      <c r="B16" s="138" t="str">
        <f>6!B17</f>
        <v>Kapuas</v>
      </c>
      <c r="C16" s="139">
        <v>0</v>
      </c>
      <c r="D16" s="373">
        <v>0</v>
      </c>
      <c r="E16" s="139">
        <v>0</v>
      </c>
      <c r="F16" s="366">
        <v>59</v>
      </c>
      <c r="G16" s="139">
        <v>23</v>
      </c>
      <c r="H16" s="460">
        <f t="shared" si="0"/>
        <v>38.983050847457626</v>
      </c>
    </row>
    <row r="17" spans="1:8" ht="15">
      <c r="A17" s="138">
        <f>6!A18</f>
        <v>8</v>
      </c>
      <c r="B17" s="138" t="str">
        <f>6!B18</f>
        <v>Pulang Pisau</v>
      </c>
      <c r="C17" s="139">
        <v>6</v>
      </c>
      <c r="D17" s="373">
        <v>6</v>
      </c>
      <c r="E17" s="139">
        <f>D17*100/C17</f>
        <v>100</v>
      </c>
      <c r="F17" s="366">
        <v>0</v>
      </c>
      <c r="G17" s="139">
        <v>0</v>
      </c>
      <c r="H17" s="139">
        <v>0</v>
      </c>
    </row>
    <row r="18" spans="1:8" ht="15">
      <c r="A18" s="138">
        <f>6!A19</f>
        <v>9</v>
      </c>
      <c r="B18" s="138" t="str">
        <f>6!B19</f>
        <v>Gunung Mas</v>
      </c>
      <c r="C18" s="139">
        <v>0</v>
      </c>
      <c r="D18" s="373">
        <v>0</v>
      </c>
      <c r="E18" s="139">
        <v>0</v>
      </c>
      <c r="F18" s="366">
        <v>0</v>
      </c>
      <c r="G18" s="139">
        <v>0</v>
      </c>
      <c r="H18" s="139">
        <v>0</v>
      </c>
    </row>
    <row r="19" spans="1:8" ht="15">
      <c r="A19" s="138">
        <f>6!A20</f>
        <v>10</v>
      </c>
      <c r="B19" s="138" t="str">
        <f>6!B20</f>
        <v>Barito Selatan</v>
      </c>
      <c r="C19" s="139">
        <v>2</v>
      </c>
      <c r="D19" s="373">
        <v>2</v>
      </c>
      <c r="E19" s="139">
        <f>D19*100/C19</f>
        <v>100</v>
      </c>
      <c r="F19" s="366">
        <v>3</v>
      </c>
      <c r="G19" s="139">
        <v>2</v>
      </c>
      <c r="H19" s="460">
        <f t="shared" si="0"/>
        <v>66.66666666666667</v>
      </c>
    </row>
    <row r="20" spans="1:8" ht="15">
      <c r="A20" s="138">
        <f>6!A21</f>
        <v>11</v>
      </c>
      <c r="B20" s="138" t="str">
        <f>6!B21</f>
        <v>Barito Timur</v>
      </c>
      <c r="C20" s="139">
        <v>0</v>
      </c>
      <c r="D20" s="373">
        <v>0</v>
      </c>
      <c r="E20" s="139">
        <v>0</v>
      </c>
      <c r="F20" s="366">
        <v>4</v>
      </c>
      <c r="G20" s="139">
        <v>4</v>
      </c>
      <c r="H20" s="138">
        <f t="shared" si="0"/>
        <v>100</v>
      </c>
    </row>
    <row r="21" spans="1:8" ht="15">
      <c r="A21" s="138">
        <f>6!A22</f>
        <v>12</v>
      </c>
      <c r="B21" s="138" t="str">
        <f>6!B22</f>
        <v>Barito Utara</v>
      </c>
      <c r="C21" s="139">
        <v>1</v>
      </c>
      <c r="D21" s="373">
        <v>1</v>
      </c>
      <c r="E21" s="139">
        <f>D21*100/C21</f>
        <v>100</v>
      </c>
      <c r="F21" s="366">
        <v>0</v>
      </c>
      <c r="G21" s="139">
        <v>0</v>
      </c>
      <c r="H21" s="139">
        <v>0</v>
      </c>
    </row>
    <row r="22" spans="1:8" ht="15">
      <c r="A22" s="138">
        <f>6!A23</f>
        <v>13</v>
      </c>
      <c r="B22" s="138" t="str">
        <f>6!B23</f>
        <v>Murung Raya</v>
      </c>
      <c r="C22" s="139">
        <v>0</v>
      </c>
      <c r="D22" s="373">
        <v>0</v>
      </c>
      <c r="E22" s="139">
        <v>0</v>
      </c>
      <c r="F22" s="366">
        <v>0</v>
      </c>
      <c r="G22" s="139">
        <v>0</v>
      </c>
      <c r="H22" s="139">
        <v>0</v>
      </c>
    </row>
    <row r="23" spans="1:8" ht="15">
      <c r="A23" s="138">
        <f>6!A24</f>
        <v>14</v>
      </c>
      <c r="B23" s="138" t="str">
        <f>6!B24</f>
        <v>Palangka Raya</v>
      </c>
      <c r="C23" s="139">
        <v>2</v>
      </c>
      <c r="D23" s="373">
        <v>1</v>
      </c>
      <c r="E23" s="139">
        <f>D23*100/C23</f>
        <v>50</v>
      </c>
      <c r="F23" s="366">
        <v>9</v>
      </c>
      <c r="G23" s="139">
        <v>6</v>
      </c>
      <c r="H23" s="460">
        <f t="shared" si="0"/>
        <v>66.66666666666667</v>
      </c>
    </row>
    <row r="24" spans="1:8" ht="15">
      <c r="A24" s="138"/>
      <c r="B24" s="138"/>
      <c r="C24" s="139"/>
      <c r="D24" s="373"/>
      <c r="E24" s="164"/>
      <c r="F24" s="366"/>
      <c r="G24" s="164"/>
      <c r="H24" s="158"/>
    </row>
    <row r="25" spans="1:8" ht="19.5" customHeight="1" thickBot="1">
      <c r="A25" s="165" t="s">
        <v>859</v>
      </c>
      <c r="B25" s="165"/>
      <c r="C25" s="167">
        <f>SUM(C10:C24)</f>
        <v>11</v>
      </c>
      <c r="D25" s="167">
        <f>SUM(D10:D24)</f>
        <v>10</v>
      </c>
      <c r="E25" s="167">
        <f>D25*100/C25</f>
        <v>90.9090909090909</v>
      </c>
      <c r="F25" s="167">
        <f>SUM(F10:F24)</f>
        <v>119</v>
      </c>
      <c r="G25" s="167">
        <f>SUM(G10:G24)</f>
        <v>68</v>
      </c>
      <c r="H25" s="509">
        <f t="shared" si="0"/>
        <v>57.142857142857146</v>
      </c>
    </row>
    <row r="26" spans="1:2" ht="15">
      <c r="A26" s="18"/>
      <c r="B26" s="18"/>
    </row>
    <row r="27" spans="1:8" ht="15">
      <c r="A27" s="525" t="s">
        <v>243</v>
      </c>
      <c r="H27" s="511"/>
    </row>
    <row r="28" ht="15">
      <c r="A28" s="14" t="s">
        <v>1</v>
      </c>
    </row>
    <row r="29" ht="15">
      <c r="A29" s="14" t="s">
        <v>540</v>
      </c>
    </row>
    <row r="30" ht="15">
      <c r="B30" s="14" t="s">
        <v>541</v>
      </c>
    </row>
  </sheetData>
  <mergeCells count="6">
    <mergeCell ref="A3:H3"/>
    <mergeCell ref="A4:H4"/>
    <mergeCell ref="A5:H5"/>
    <mergeCell ref="C7:H7"/>
    <mergeCell ref="B7:B8"/>
    <mergeCell ref="A7:A8"/>
  </mergeCells>
  <printOptions horizontalCentered="1"/>
  <pageMargins left="1.6929133858267718" right="0.9055118110236221" top="0.9055118110236221" bottom="0.9055118110236221" header="0" footer="0.7874015748031497"/>
  <pageSetup fitToHeight="1" fitToWidth="1" horizontalDpi="300" verticalDpi="300" orientation="landscape" paperSize="9" scale="78" r:id="rId1"/>
  <headerFooter alignWithMargins="0">
    <oddFooter>&amp;C69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selection activeCell="G17" sqref="G17"/>
    </sheetView>
  </sheetViews>
  <sheetFormatPr defaultColWidth="9.140625" defaultRowHeight="12.75"/>
  <cols>
    <col min="1" max="1" width="5.7109375" style="14" customWidth="1"/>
    <col min="2" max="2" width="31.421875" style="14" customWidth="1"/>
    <col min="3" max="5" width="25.7109375" style="14" customWidth="1"/>
    <col min="6" max="16384" width="9.140625" style="14" customWidth="1"/>
  </cols>
  <sheetData>
    <row r="1" spans="1:2" ht="15">
      <c r="A1" s="13" t="s">
        <v>287</v>
      </c>
      <c r="B1" s="13"/>
    </row>
    <row r="2" spans="1:2" ht="15">
      <c r="A2" s="42" t="s">
        <v>1</v>
      </c>
      <c r="B2" s="42"/>
    </row>
    <row r="3" spans="1:5" ht="15">
      <c r="A3" s="641" t="s">
        <v>494</v>
      </c>
      <c r="B3" s="641"/>
      <c r="C3" s="641"/>
      <c r="D3" s="641"/>
      <c r="E3" s="641"/>
    </row>
    <row r="4" spans="1:5" ht="15">
      <c r="A4" s="642" t="str">
        <f>1!A5</f>
        <v>PROVINSI KALIMANTAN TENGAH</v>
      </c>
      <c r="B4" s="642"/>
      <c r="C4" s="642"/>
      <c r="D4" s="642"/>
      <c r="E4" s="642"/>
    </row>
    <row r="5" spans="1:5" ht="15">
      <c r="A5" s="642" t="str">
        <f>1!A6</f>
        <v>TAHUN 2009</v>
      </c>
      <c r="B5" s="642"/>
      <c r="C5" s="642"/>
      <c r="D5" s="642"/>
      <c r="E5" s="642"/>
    </row>
    <row r="6" spans="1:5" ht="15.75" thickBot="1">
      <c r="A6" s="106"/>
      <c r="B6" s="106"/>
      <c r="C6" s="106"/>
      <c r="D6" s="106"/>
      <c r="E6" s="106"/>
    </row>
    <row r="7" spans="1:5" ht="19.5" customHeight="1">
      <c r="A7" s="638" t="s">
        <v>2</v>
      </c>
      <c r="B7" s="637" t="s">
        <v>844</v>
      </c>
      <c r="C7" s="549" t="s">
        <v>561</v>
      </c>
      <c r="D7" s="550"/>
      <c r="E7" s="551"/>
    </row>
    <row r="8" spans="1:5" ht="19.5" customHeight="1">
      <c r="A8" s="639"/>
      <c r="B8" s="639"/>
      <c r="C8" s="59" t="s">
        <v>21</v>
      </c>
      <c r="D8" s="59" t="s">
        <v>316</v>
      </c>
      <c r="E8" s="59" t="s">
        <v>309</v>
      </c>
    </row>
    <row r="9" spans="1:5" ht="15">
      <c r="A9" s="59">
        <v>1</v>
      </c>
      <c r="B9" s="137">
        <v>2</v>
      </c>
      <c r="C9" s="59">
        <v>3</v>
      </c>
      <c r="D9" s="137">
        <v>4</v>
      </c>
      <c r="E9" s="59">
        <v>5</v>
      </c>
    </row>
    <row r="10" spans="1:5" ht="15">
      <c r="A10" s="138">
        <f>6!A11</f>
        <v>1</v>
      </c>
      <c r="B10" s="138" t="str">
        <f>6!B11</f>
        <v>Kotawaringin Barat</v>
      </c>
      <c r="C10" s="63">
        <v>23</v>
      </c>
      <c r="D10" s="169">
        <v>23</v>
      </c>
      <c r="E10" s="170">
        <f>D10/C10*100</f>
        <v>100</v>
      </c>
    </row>
    <row r="11" spans="1:5" ht="15">
      <c r="A11" s="138">
        <f>6!A12</f>
        <v>2</v>
      </c>
      <c r="B11" s="138" t="str">
        <f>6!B12</f>
        <v>Lamandau</v>
      </c>
      <c r="C11" s="63">
        <f>0</f>
        <v>0</v>
      </c>
      <c r="D11" s="63">
        <f>0</f>
        <v>0</v>
      </c>
      <c r="E11" s="63">
        <f>0</f>
        <v>0</v>
      </c>
    </row>
    <row r="12" spans="1:5" ht="15">
      <c r="A12" s="138">
        <f>6!A13</f>
        <v>3</v>
      </c>
      <c r="B12" s="138" t="str">
        <f>6!B13</f>
        <v>Sukamara</v>
      </c>
      <c r="C12" s="63">
        <v>0</v>
      </c>
      <c r="D12" s="63">
        <v>0</v>
      </c>
      <c r="E12" s="63">
        <f>0</f>
        <v>0</v>
      </c>
    </row>
    <row r="13" spans="1:5" ht="15">
      <c r="A13" s="138">
        <f>6!A14</f>
        <v>4</v>
      </c>
      <c r="B13" s="138" t="str">
        <f>6!B14</f>
        <v>Kotawaringin Timur</v>
      </c>
      <c r="C13" s="63">
        <v>145</v>
      </c>
      <c r="D13" s="63">
        <v>145</v>
      </c>
      <c r="E13" s="171">
        <f>D13/C13*100</f>
        <v>100</v>
      </c>
    </row>
    <row r="14" spans="1:5" ht="15">
      <c r="A14" s="138">
        <f>6!A15</f>
        <v>5</v>
      </c>
      <c r="B14" s="138" t="str">
        <f>6!B15</f>
        <v>Seruyan</v>
      </c>
      <c r="C14" s="63">
        <v>12</v>
      </c>
      <c r="D14" s="63">
        <v>0</v>
      </c>
      <c r="E14" s="171">
        <f>D14/C14*100</f>
        <v>0</v>
      </c>
    </row>
    <row r="15" spans="1:5" ht="15">
      <c r="A15" s="138">
        <f>6!A16</f>
        <v>6</v>
      </c>
      <c r="B15" s="138" t="str">
        <f>6!B16</f>
        <v>Katingan</v>
      </c>
      <c r="C15" s="63">
        <v>0</v>
      </c>
      <c r="D15" s="63">
        <v>0</v>
      </c>
      <c r="E15" s="63">
        <f>0</f>
        <v>0</v>
      </c>
    </row>
    <row r="16" spans="1:5" ht="15">
      <c r="A16" s="138">
        <f>6!A17</f>
        <v>7</v>
      </c>
      <c r="B16" s="138" t="str">
        <f>6!B17</f>
        <v>Kapuas</v>
      </c>
      <c r="C16" s="63">
        <v>29</v>
      </c>
      <c r="D16" s="63">
        <v>29</v>
      </c>
      <c r="E16" s="171">
        <f>D16/C16*100</f>
        <v>100</v>
      </c>
    </row>
    <row r="17" spans="1:5" ht="15">
      <c r="A17" s="138">
        <f>6!A18</f>
        <v>8</v>
      </c>
      <c r="B17" s="138" t="str">
        <f>6!B18</f>
        <v>Pulang Pisau</v>
      </c>
      <c r="C17" s="63">
        <v>0</v>
      </c>
      <c r="D17" s="63">
        <v>0</v>
      </c>
      <c r="E17" s="63">
        <f>0</f>
        <v>0</v>
      </c>
    </row>
    <row r="18" spans="1:5" ht="15">
      <c r="A18" s="138">
        <f>6!A19</f>
        <v>9</v>
      </c>
      <c r="B18" s="138" t="str">
        <f>6!B19</f>
        <v>Gunung Mas</v>
      </c>
      <c r="C18" s="63">
        <v>0</v>
      </c>
      <c r="D18" s="63">
        <v>0</v>
      </c>
      <c r="E18" s="63">
        <f>0</f>
        <v>0</v>
      </c>
    </row>
    <row r="19" spans="1:5" ht="15">
      <c r="A19" s="138">
        <f>6!A20</f>
        <v>10</v>
      </c>
      <c r="B19" s="138" t="str">
        <f>6!B20</f>
        <v>Barito Selatan</v>
      </c>
      <c r="C19" s="63">
        <v>0</v>
      </c>
      <c r="D19" s="63">
        <v>0</v>
      </c>
      <c r="E19" s="63">
        <f>0</f>
        <v>0</v>
      </c>
    </row>
    <row r="20" spans="1:5" ht="15">
      <c r="A20" s="138">
        <f>6!A21</f>
        <v>11</v>
      </c>
      <c r="B20" s="138" t="str">
        <f>6!B21</f>
        <v>Barito Timur</v>
      </c>
      <c r="C20" s="63">
        <v>0</v>
      </c>
      <c r="D20" s="63">
        <v>0</v>
      </c>
      <c r="E20" s="63">
        <f>0</f>
        <v>0</v>
      </c>
    </row>
    <row r="21" spans="1:5" ht="15">
      <c r="A21" s="138">
        <f>6!A22</f>
        <v>12</v>
      </c>
      <c r="B21" s="138" t="str">
        <f>6!B22</f>
        <v>Barito Utara</v>
      </c>
      <c r="C21" s="63">
        <v>0</v>
      </c>
      <c r="D21" s="63">
        <v>0</v>
      </c>
      <c r="E21" s="63">
        <f>0</f>
        <v>0</v>
      </c>
    </row>
    <row r="22" spans="1:5" ht="15">
      <c r="A22" s="138">
        <f>6!A23</f>
        <v>13</v>
      </c>
      <c r="B22" s="138" t="str">
        <f>6!B23</f>
        <v>Murung Raya</v>
      </c>
      <c r="C22" s="63">
        <v>0</v>
      </c>
      <c r="D22" s="63">
        <v>0</v>
      </c>
      <c r="E22" s="63">
        <f>0</f>
        <v>0</v>
      </c>
    </row>
    <row r="23" spans="1:5" ht="15">
      <c r="A23" s="138">
        <f>6!A24</f>
        <v>14</v>
      </c>
      <c r="B23" s="138" t="str">
        <f>6!B24</f>
        <v>Palangka Raya</v>
      </c>
      <c r="C23" s="63">
        <v>0</v>
      </c>
      <c r="D23" s="63">
        <v>0</v>
      </c>
      <c r="E23" s="63">
        <f>0</f>
        <v>0</v>
      </c>
    </row>
    <row r="24" spans="1:5" ht="15">
      <c r="A24" s="138"/>
      <c r="B24" s="138"/>
      <c r="C24" s="63"/>
      <c r="D24" s="63"/>
      <c r="E24" s="63">
        <f>0</f>
        <v>0</v>
      </c>
    </row>
    <row r="25" spans="1:5" ht="19.5" customHeight="1" thickBot="1">
      <c r="A25" s="165" t="s">
        <v>859</v>
      </c>
      <c r="B25" s="165"/>
      <c r="C25" s="172">
        <f>SUM(C10:C24)</f>
        <v>209</v>
      </c>
      <c r="D25" s="72">
        <f>SUM(D10:D24)</f>
        <v>197</v>
      </c>
      <c r="E25" s="173">
        <f>D25/C25*100</f>
        <v>94.25837320574163</v>
      </c>
    </row>
    <row r="26" spans="1:15" ht="18">
      <c r="A26" s="73"/>
      <c r="B26" s="150"/>
      <c r="C26" s="151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1:5" ht="15">
      <c r="A27" s="525" t="s">
        <v>243</v>
      </c>
      <c r="C27" s="18"/>
      <c r="D27" s="18"/>
      <c r="E27" s="511"/>
    </row>
    <row r="28" ht="15">
      <c r="A28" s="14" t="s">
        <v>1</v>
      </c>
    </row>
  </sheetData>
  <mergeCells count="6">
    <mergeCell ref="A3:E3"/>
    <mergeCell ref="A4:E4"/>
    <mergeCell ref="A5:E5"/>
    <mergeCell ref="C7:E7"/>
    <mergeCell ref="B7:B8"/>
    <mergeCell ref="A7:A8"/>
  </mergeCells>
  <printOptions horizontalCentered="1"/>
  <pageMargins left="1.6929133858267718" right="0.9055118110236221" top="0.984251968503937" bottom="1.1811023622047245" header="0" footer="1.1811023622047245"/>
  <pageSetup fitToHeight="1" fitToWidth="1" horizontalDpi="300" verticalDpi="300" orientation="landscape" paperSize="9" r:id="rId1"/>
  <headerFooter alignWithMargins="0">
    <oddFooter>&amp;C70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28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5.7109375" style="14" customWidth="1"/>
    <col min="2" max="2" width="25.7109375" style="14" customWidth="1"/>
    <col min="3" max="9" width="17.8515625" style="14" customWidth="1"/>
    <col min="10" max="16384" width="9.140625" style="14" customWidth="1"/>
  </cols>
  <sheetData>
    <row r="1" ht="15">
      <c r="A1" s="13" t="s">
        <v>475</v>
      </c>
    </row>
    <row r="3" spans="1:9" ht="15">
      <c r="A3" s="641" t="s">
        <v>317</v>
      </c>
      <c r="B3" s="641"/>
      <c r="C3" s="641"/>
      <c r="D3" s="641"/>
      <c r="E3" s="641"/>
      <c r="F3" s="641"/>
      <c r="G3" s="641"/>
      <c r="H3" s="641"/>
      <c r="I3" s="641"/>
    </row>
    <row r="4" spans="1:9" ht="15">
      <c r="A4" s="642" t="str">
        <f>1!A5</f>
        <v>PROVINSI KALIMANTAN TENGAH</v>
      </c>
      <c r="B4" s="642"/>
      <c r="C4" s="642"/>
      <c r="D4" s="642"/>
      <c r="E4" s="642"/>
      <c r="F4" s="642"/>
      <c r="G4" s="642"/>
      <c r="H4" s="642"/>
      <c r="I4" s="642"/>
    </row>
    <row r="5" spans="1:9" ht="15">
      <c r="A5" s="642" t="str">
        <f>1!A6</f>
        <v>TAHUN 2009</v>
      </c>
      <c r="B5" s="642"/>
      <c r="C5" s="642"/>
      <c r="D5" s="642"/>
      <c r="E5" s="642"/>
      <c r="F5" s="642"/>
      <c r="G5" s="642"/>
      <c r="H5" s="642"/>
      <c r="I5" s="642"/>
    </row>
    <row r="6" spans="1:4" ht="15.75" thickBot="1">
      <c r="A6" s="18"/>
      <c r="B6" s="18"/>
      <c r="C6" s="18"/>
      <c r="D6" s="18"/>
    </row>
    <row r="7" spans="1:9" ht="19.5" customHeight="1">
      <c r="A7" s="637" t="s">
        <v>2</v>
      </c>
      <c r="B7" s="637" t="s">
        <v>844</v>
      </c>
      <c r="C7" s="93" t="s">
        <v>318</v>
      </c>
      <c r="D7" s="95"/>
      <c r="E7" s="95"/>
      <c r="F7" s="95"/>
      <c r="G7" s="95"/>
      <c r="H7" s="95"/>
      <c r="I7" s="96"/>
    </row>
    <row r="8" spans="1:9" ht="28.5">
      <c r="A8" s="639"/>
      <c r="B8" s="639"/>
      <c r="C8" s="59" t="s">
        <v>319</v>
      </c>
      <c r="D8" s="59" t="s">
        <v>320</v>
      </c>
      <c r="E8" s="59" t="s">
        <v>321</v>
      </c>
      <c r="F8" s="176" t="s">
        <v>503</v>
      </c>
      <c r="G8" s="59" t="s">
        <v>322</v>
      </c>
      <c r="H8" s="157" t="s">
        <v>323</v>
      </c>
      <c r="I8" s="59" t="s">
        <v>324</v>
      </c>
    </row>
    <row r="9" spans="1:9" ht="15">
      <c r="A9" s="59">
        <v>1</v>
      </c>
      <c r="B9" s="137">
        <v>2</v>
      </c>
      <c r="C9" s="137">
        <v>3</v>
      </c>
      <c r="D9" s="59">
        <v>4</v>
      </c>
      <c r="E9" s="137">
        <v>5</v>
      </c>
      <c r="F9" s="59">
        <v>6</v>
      </c>
      <c r="G9" s="137">
        <v>7</v>
      </c>
      <c r="H9" s="59">
        <v>8</v>
      </c>
      <c r="I9" s="59">
        <v>9</v>
      </c>
    </row>
    <row r="10" spans="1:10" ht="15">
      <c r="A10" s="138">
        <f>6!A11</f>
        <v>1</v>
      </c>
      <c r="B10" s="138" t="str">
        <f>6!B11</f>
        <v>Kotawaringin Barat</v>
      </c>
      <c r="C10" s="139">
        <v>0</v>
      </c>
      <c r="D10" s="139">
        <v>0</v>
      </c>
      <c r="E10" s="140">
        <v>0</v>
      </c>
      <c r="F10" s="140">
        <v>0</v>
      </c>
      <c r="G10" s="140">
        <v>57</v>
      </c>
      <c r="H10" s="140">
        <v>0</v>
      </c>
      <c r="I10" s="140">
        <v>0</v>
      </c>
      <c r="J10" s="174"/>
    </row>
    <row r="11" spans="1:10" ht="15">
      <c r="A11" s="138">
        <f>6!A12</f>
        <v>2</v>
      </c>
      <c r="B11" s="138" t="str">
        <f>6!B12</f>
        <v>Lamandau</v>
      </c>
      <c r="C11" s="139">
        <f>0</f>
        <v>0</v>
      </c>
      <c r="D11" s="139">
        <f>0</f>
        <v>0</v>
      </c>
      <c r="E11" s="139">
        <f>0</f>
        <v>0</v>
      </c>
      <c r="F11" s="139">
        <f>0</f>
        <v>0</v>
      </c>
      <c r="G11" s="139">
        <f>0</f>
        <v>0</v>
      </c>
      <c r="H11" s="139">
        <f>0</f>
        <v>0</v>
      </c>
      <c r="I11" s="139">
        <f>0</f>
        <v>0</v>
      </c>
      <c r="J11" s="174"/>
    </row>
    <row r="12" spans="1:10" ht="15">
      <c r="A12" s="138">
        <f>6!A13</f>
        <v>3</v>
      </c>
      <c r="B12" s="138" t="str">
        <f>6!B13</f>
        <v>Sukamara</v>
      </c>
      <c r="C12" s="139">
        <v>1</v>
      </c>
      <c r="D12" s="139">
        <v>0</v>
      </c>
      <c r="E12" s="139">
        <v>0</v>
      </c>
      <c r="F12" s="139">
        <v>0</v>
      </c>
      <c r="G12" s="139">
        <v>1</v>
      </c>
      <c r="H12" s="139">
        <v>0</v>
      </c>
      <c r="I12" s="139">
        <v>51</v>
      </c>
      <c r="J12" s="174"/>
    </row>
    <row r="13" spans="1:10" ht="15">
      <c r="A13" s="138">
        <f>6!A14</f>
        <v>4</v>
      </c>
      <c r="B13" s="138" t="str">
        <f>6!B14</f>
        <v>Kotawaringin Timur</v>
      </c>
      <c r="C13" s="139">
        <v>0</v>
      </c>
      <c r="D13" s="139">
        <v>0</v>
      </c>
      <c r="E13" s="139">
        <v>0</v>
      </c>
      <c r="F13" s="139">
        <v>2</v>
      </c>
      <c r="G13" s="139">
        <v>38</v>
      </c>
      <c r="H13" s="139">
        <v>0</v>
      </c>
      <c r="I13" s="139">
        <v>7</v>
      </c>
      <c r="J13" s="174"/>
    </row>
    <row r="14" spans="1:10" ht="15">
      <c r="A14" s="138">
        <f>6!A15</f>
        <v>5</v>
      </c>
      <c r="B14" s="138" t="str">
        <f>6!B15</f>
        <v>Seruyan</v>
      </c>
      <c r="C14" s="139">
        <v>0</v>
      </c>
      <c r="D14" s="139">
        <v>1</v>
      </c>
      <c r="E14" s="139">
        <v>0</v>
      </c>
      <c r="F14" s="139">
        <v>0</v>
      </c>
      <c r="G14" s="139">
        <v>11</v>
      </c>
      <c r="H14" s="139">
        <v>0</v>
      </c>
      <c r="I14" s="139">
        <v>0</v>
      </c>
      <c r="J14" s="174"/>
    </row>
    <row r="15" spans="1:10" ht="15">
      <c r="A15" s="138">
        <f>6!A16</f>
        <v>6</v>
      </c>
      <c r="B15" s="138" t="str">
        <f>6!B16</f>
        <v>Katingan</v>
      </c>
      <c r="C15" s="139">
        <v>0</v>
      </c>
      <c r="D15" s="139">
        <v>0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  <c r="J15" s="174"/>
    </row>
    <row r="16" spans="1:10" ht="15">
      <c r="A16" s="138">
        <f>6!A17</f>
        <v>7</v>
      </c>
      <c r="B16" s="138" t="str">
        <f>6!B17</f>
        <v>Kapuas</v>
      </c>
      <c r="C16" s="139">
        <v>0</v>
      </c>
      <c r="D16" s="139">
        <v>0</v>
      </c>
      <c r="E16" s="139">
        <v>0</v>
      </c>
      <c r="F16" s="139">
        <v>0</v>
      </c>
      <c r="G16" s="139">
        <v>36</v>
      </c>
      <c r="H16" s="139">
        <v>1</v>
      </c>
      <c r="I16" s="139">
        <v>0</v>
      </c>
      <c r="J16" s="174"/>
    </row>
    <row r="17" spans="1:10" ht="15">
      <c r="A17" s="138">
        <f>6!A18</f>
        <v>8</v>
      </c>
      <c r="B17" s="138" t="str">
        <f>6!B18</f>
        <v>Pulang Pisau</v>
      </c>
      <c r="C17" s="139">
        <v>0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74"/>
    </row>
    <row r="18" spans="1:10" ht="15">
      <c r="A18" s="138">
        <f>6!A19</f>
        <v>9</v>
      </c>
      <c r="B18" s="138" t="str">
        <f>6!B19</f>
        <v>Gunung Mas</v>
      </c>
      <c r="C18" s="139">
        <v>0</v>
      </c>
      <c r="D18" s="139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74"/>
    </row>
    <row r="19" spans="1:10" ht="15">
      <c r="A19" s="138">
        <f>6!A20</f>
        <v>10</v>
      </c>
      <c r="B19" s="138" t="str">
        <f>6!B20</f>
        <v>Barito Selatan</v>
      </c>
      <c r="C19" s="139">
        <v>0</v>
      </c>
      <c r="D19" s="139">
        <v>0</v>
      </c>
      <c r="E19" s="139">
        <v>0</v>
      </c>
      <c r="F19" s="139">
        <v>0</v>
      </c>
      <c r="G19" s="139">
        <v>4</v>
      </c>
      <c r="H19" s="139">
        <v>0</v>
      </c>
      <c r="I19" s="139">
        <v>0</v>
      </c>
      <c r="J19" s="174"/>
    </row>
    <row r="20" spans="1:10" ht="15">
      <c r="A20" s="138">
        <f>6!A21</f>
        <v>11</v>
      </c>
      <c r="B20" s="138" t="str">
        <f>6!B21</f>
        <v>Barito Timur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74"/>
    </row>
    <row r="21" spans="1:10" ht="15">
      <c r="A21" s="138">
        <f>6!A22</f>
        <v>12</v>
      </c>
      <c r="B21" s="138" t="str">
        <f>6!B22</f>
        <v>Barito Utara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74"/>
    </row>
    <row r="22" spans="1:10" ht="15">
      <c r="A22" s="138">
        <f>6!A23</f>
        <v>13</v>
      </c>
      <c r="B22" s="138" t="str">
        <f>6!B23</f>
        <v>Murung Raya</v>
      </c>
      <c r="C22" s="139">
        <v>0</v>
      </c>
      <c r="D22" s="139">
        <v>6</v>
      </c>
      <c r="E22" s="139">
        <v>0</v>
      </c>
      <c r="F22" s="139">
        <v>0</v>
      </c>
      <c r="G22" s="139">
        <v>41</v>
      </c>
      <c r="H22" s="139">
        <v>0</v>
      </c>
      <c r="I22" s="139">
        <v>0</v>
      </c>
      <c r="J22" s="174"/>
    </row>
    <row r="23" spans="1:10" ht="15">
      <c r="A23" s="138">
        <f>6!A24</f>
        <v>14</v>
      </c>
      <c r="B23" s="138" t="str">
        <f>6!B24</f>
        <v>Palangka Raya</v>
      </c>
      <c r="C23" s="139">
        <v>0</v>
      </c>
      <c r="D23" s="139">
        <v>0</v>
      </c>
      <c r="E23" s="139">
        <v>0</v>
      </c>
      <c r="F23" s="139">
        <v>1</v>
      </c>
      <c r="G23" s="139">
        <v>118</v>
      </c>
      <c r="H23" s="139">
        <v>0</v>
      </c>
      <c r="I23" s="139">
        <v>3</v>
      </c>
      <c r="J23" s="174"/>
    </row>
    <row r="24" spans="1:10" ht="15">
      <c r="A24" s="138"/>
      <c r="B24" s="138"/>
      <c r="C24" s="139"/>
      <c r="D24" s="139"/>
      <c r="E24" s="139"/>
      <c r="F24" s="139"/>
      <c r="G24" s="139"/>
      <c r="H24" s="139"/>
      <c r="I24" s="139"/>
      <c r="J24" s="174"/>
    </row>
    <row r="25" spans="1:10" ht="19.5" customHeight="1" thickBot="1">
      <c r="A25" s="148" t="s">
        <v>859</v>
      </c>
      <c r="B25" s="175"/>
      <c r="C25" s="167">
        <f aca="true" t="shared" si="0" ref="C25:I25">SUM(C10:C24)</f>
        <v>1</v>
      </c>
      <c r="D25" s="167">
        <f t="shared" si="0"/>
        <v>7</v>
      </c>
      <c r="E25" s="167">
        <f t="shared" si="0"/>
        <v>0</v>
      </c>
      <c r="F25" s="167">
        <f t="shared" si="0"/>
        <v>3</v>
      </c>
      <c r="G25" s="167">
        <f t="shared" si="0"/>
        <v>306</v>
      </c>
      <c r="H25" s="167">
        <f t="shared" si="0"/>
        <v>1</v>
      </c>
      <c r="I25" s="167">
        <f t="shared" si="0"/>
        <v>61</v>
      </c>
      <c r="J25" s="174"/>
    </row>
    <row r="26" spans="1:9" ht="15">
      <c r="A26" s="18"/>
      <c r="B26" s="18"/>
      <c r="C26" s="168"/>
      <c r="D26" s="168"/>
      <c r="E26" s="18"/>
      <c r="F26" s="18"/>
      <c r="G26" s="18"/>
      <c r="H26" s="18"/>
      <c r="I26" s="18"/>
    </row>
    <row r="27" spans="1:9" ht="15">
      <c r="A27" s="525" t="s">
        <v>243</v>
      </c>
      <c r="B27" s="18"/>
      <c r="C27" s="18"/>
      <c r="D27" s="18"/>
      <c r="E27" s="18"/>
      <c r="F27" s="18"/>
      <c r="G27" s="18"/>
      <c r="H27" s="18"/>
      <c r="I27" s="511"/>
    </row>
    <row r="28" ht="15">
      <c r="A28" s="14" t="s">
        <v>1</v>
      </c>
    </row>
  </sheetData>
  <mergeCells count="5">
    <mergeCell ref="A3:I3"/>
    <mergeCell ref="A4:I4"/>
    <mergeCell ref="A5:I5"/>
    <mergeCell ref="A7:A8"/>
    <mergeCell ref="B7:B8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75" r:id="rId1"/>
  <headerFooter alignWithMargins="0">
    <oddFooter>&amp;C71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29"/>
  <sheetViews>
    <sheetView zoomScale="75" zoomScaleNormal="75" workbookViewId="0" topLeftCell="A1">
      <selection activeCell="N26" sqref="N26"/>
    </sheetView>
  </sheetViews>
  <sheetFormatPr defaultColWidth="9.140625" defaultRowHeight="12.75"/>
  <cols>
    <col min="1" max="1" width="5.7109375" style="14" customWidth="1"/>
    <col min="2" max="2" width="25.140625" style="14" customWidth="1"/>
    <col min="3" max="9" width="13.00390625" style="14" customWidth="1"/>
    <col min="10" max="11" width="13.57421875" style="14" customWidth="1"/>
    <col min="12" max="12" width="13.00390625" style="14" customWidth="1"/>
    <col min="13" max="13" width="13.00390625" style="133" customWidth="1"/>
    <col min="14" max="15" width="13.00390625" style="14" customWidth="1"/>
    <col min="16" max="16384" width="9.140625" style="14" customWidth="1"/>
  </cols>
  <sheetData>
    <row r="1" spans="1:2" ht="15">
      <c r="A1" s="132" t="s">
        <v>476</v>
      </c>
      <c r="B1" s="133"/>
    </row>
    <row r="3" spans="1:15" ht="15">
      <c r="A3" s="641" t="s">
        <v>468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</row>
    <row r="4" spans="1:15" ht="15">
      <c r="A4" s="641" t="str">
        <f>1!A5:E5</f>
        <v>PROVINSI KALIMANTAN TENGAH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</row>
    <row r="5" spans="1:15" ht="15">
      <c r="A5" s="641" t="str">
        <f>1!A6:E6</f>
        <v>TAHUN 2009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</row>
    <row r="6" ht="15.75" thickBot="1">
      <c r="A6" s="18"/>
    </row>
    <row r="7" spans="1:15" ht="15">
      <c r="A7" s="634" t="s">
        <v>2</v>
      </c>
      <c r="B7" s="637" t="s">
        <v>844</v>
      </c>
      <c r="C7" s="546" t="s">
        <v>469</v>
      </c>
      <c r="D7" s="569"/>
      <c r="E7" s="570"/>
      <c r="F7" s="568" t="s">
        <v>326</v>
      </c>
      <c r="G7" s="555"/>
      <c r="H7" s="570"/>
      <c r="I7" s="546" t="s">
        <v>327</v>
      </c>
      <c r="J7" s="555"/>
      <c r="K7" s="555"/>
      <c r="L7" s="569"/>
      <c r="M7" s="569"/>
      <c r="N7" s="569"/>
      <c r="O7" s="570"/>
    </row>
    <row r="8" spans="1:15" ht="15">
      <c r="A8" s="635"/>
      <c r="B8" s="638"/>
      <c r="C8" s="552"/>
      <c r="D8" s="553"/>
      <c r="E8" s="554"/>
      <c r="F8" s="552"/>
      <c r="G8" s="553"/>
      <c r="H8" s="554"/>
      <c r="I8" s="552"/>
      <c r="J8" s="553"/>
      <c r="K8" s="553"/>
      <c r="L8" s="553"/>
      <c r="M8" s="553"/>
      <c r="N8" s="553"/>
      <c r="O8" s="554"/>
    </row>
    <row r="9" spans="1:15" ht="30">
      <c r="A9" s="636"/>
      <c r="B9" s="639"/>
      <c r="C9" s="59" t="s">
        <v>21</v>
      </c>
      <c r="D9" s="136" t="s">
        <v>542</v>
      </c>
      <c r="E9" s="136" t="s">
        <v>27</v>
      </c>
      <c r="F9" s="59" t="s">
        <v>328</v>
      </c>
      <c r="G9" s="59" t="s">
        <v>329</v>
      </c>
      <c r="H9" s="136" t="s">
        <v>27</v>
      </c>
      <c r="I9" s="136" t="s">
        <v>543</v>
      </c>
      <c r="J9" s="136" t="s">
        <v>23</v>
      </c>
      <c r="K9" s="136" t="s">
        <v>719</v>
      </c>
      <c r="L9" s="136" t="s">
        <v>22</v>
      </c>
      <c r="M9" s="156" t="s">
        <v>258</v>
      </c>
      <c r="N9" s="162" t="s">
        <v>330</v>
      </c>
      <c r="O9" s="161" t="s">
        <v>331</v>
      </c>
    </row>
    <row r="10" spans="1:15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59">
        <v>11</v>
      </c>
      <c r="L10" s="11">
        <v>12</v>
      </c>
      <c r="M10" s="11">
        <v>13</v>
      </c>
      <c r="N10" s="11">
        <v>14</v>
      </c>
      <c r="O10" s="11">
        <v>15</v>
      </c>
    </row>
    <row r="11" spans="1:15" ht="15">
      <c r="A11" s="142">
        <f>6!A11</f>
        <v>1</v>
      </c>
      <c r="B11" s="30" t="str">
        <f>6!B11</f>
        <v>Kotawaringin Barat</v>
      </c>
      <c r="C11" s="139">
        <v>5183</v>
      </c>
      <c r="D11" s="139">
        <v>4379</v>
      </c>
      <c r="E11" s="141">
        <f>D11/C11*100</f>
        <v>84.48774840825777</v>
      </c>
      <c r="F11" s="139">
        <v>5183</v>
      </c>
      <c r="G11" s="139">
        <v>4516</v>
      </c>
      <c r="H11" s="141">
        <f>G11/F11*100</f>
        <v>87.13100520933821</v>
      </c>
      <c r="I11" s="139">
        <f>6!C11</f>
        <v>5183</v>
      </c>
      <c r="J11" s="139">
        <v>4741</v>
      </c>
      <c r="K11" s="139">
        <f>J11/I11*100</f>
        <v>91.47212039359445</v>
      </c>
      <c r="L11" s="139">
        <v>219</v>
      </c>
      <c r="M11" s="141">
        <f>L11/I11*100</f>
        <v>4.225352112676056</v>
      </c>
      <c r="N11" s="139">
        <v>216</v>
      </c>
      <c r="O11" s="139">
        <f>N11/L11*100</f>
        <v>98.63013698630137</v>
      </c>
    </row>
    <row r="12" spans="1:15" ht="15">
      <c r="A12" s="138">
        <f>6!A12</f>
        <v>2</v>
      </c>
      <c r="B12" s="30" t="str">
        <f>6!B12</f>
        <v>Lamandau</v>
      </c>
      <c r="C12" s="139">
        <v>1482</v>
      </c>
      <c r="D12" s="139">
        <v>1034</v>
      </c>
      <c r="E12" s="141">
        <f aca="true" t="shared" si="0" ref="E12:E26">D12/C12*100</f>
        <v>69.77058029689609</v>
      </c>
      <c r="F12" s="139">
        <v>1482</v>
      </c>
      <c r="G12" s="139">
        <v>1316</v>
      </c>
      <c r="H12" s="141">
        <f aca="true" t="shared" si="1" ref="H12:H26">G12/F12*100</f>
        <v>88.79892037786774</v>
      </c>
      <c r="I12" s="139">
        <f>6!C12</f>
        <v>1187</v>
      </c>
      <c r="J12" s="139">
        <v>1187</v>
      </c>
      <c r="K12" s="139">
        <f aca="true" t="shared" si="2" ref="K12:K26">J12/I12*100</f>
        <v>100</v>
      </c>
      <c r="L12" s="139">
        <v>39</v>
      </c>
      <c r="M12" s="141">
        <f aca="true" t="shared" si="3" ref="M12:M26">L12/I12*100</f>
        <v>3.285593934288121</v>
      </c>
      <c r="N12" s="139">
        <v>39</v>
      </c>
      <c r="O12" s="139">
        <f aca="true" t="shared" si="4" ref="O12:O26">N12/L12*100</f>
        <v>100</v>
      </c>
    </row>
    <row r="13" spans="1:15" ht="15">
      <c r="A13" s="138">
        <f>6!A13</f>
        <v>3</v>
      </c>
      <c r="B13" s="30" t="str">
        <f>6!B13</f>
        <v>Sukamara</v>
      </c>
      <c r="C13" s="139">
        <v>1049</v>
      </c>
      <c r="D13" s="139">
        <v>767</v>
      </c>
      <c r="E13" s="141">
        <f t="shared" si="0"/>
        <v>73.11725452812202</v>
      </c>
      <c r="F13" s="139">
        <v>1049</v>
      </c>
      <c r="G13" s="139">
        <v>695</v>
      </c>
      <c r="H13" s="141">
        <f t="shared" si="1"/>
        <v>66.25357483317445</v>
      </c>
      <c r="I13" s="139">
        <f>6!C13</f>
        <v>779</v>
      </c>
      <c r="J13" s="139">
        <v>679</v>
      </c>
      <c r="K13" s="139">
        <f t="shared" si="2"/>
        <v>87.16302952503209</v>
      </c>
      <c r="L13" s="139">
        <v>21</v>
      </c>
      <c r="M13" s="141">
        <f t="shared" si="3"/>
        <v>2.6957637997432604</v>
      </c>
      <c r="N13" s="139">
        <v>18</v>
      </c>
      <c r="O13" s="139">
        <f t="shared" si="4"/>
        <v>85.71428571428571</v>
      </c>
    </row>
    <row r="14" spans="1:15" ht="15">
      <c r="A14" s="138">
        <f>6!A14</f>
        <v>4</v>
      </c>
      <c r="B14" s="30" t="str">
        <f>6!B14</f>
        <v>Kotawaringin Timur</v>
      </c>
      <c r="C14" s="139">
        <v>7840</v>
      </c>
      <c r="D14" s="139">
        <v>6622</v>
      </c>
      <c r="E14" s="141">
        <f t="shared" si="0"/>
        <v>84.46428571428571</v>
      </c>
      <c r="F14" s="139">
        <v>7827</v>
      </c>
      <c r="G14" s="139">
        <v>6968</v>
      </c>
      <c r="H14" s="141">
        <f t="shared" si="1"/>
        <v>89.02516928580555</v>
      </c>
      <c r="I14" s="139">
        <f>6!C14</f>
        <v>6794</v>
      </c>
      <c r="J14" s="139">
        <v>6264</v>
      </c>
      <c r="K14" s="139">
        <f t="shared" si="2"/>
        <v>92.19899911686782</v>
      </c>
      <c r="L14" s="139">
        <v>107</v>
      </c>
      <c r="M14" s="141">
        <f t="shared" si="3"/>
        <v>1.5749190462172504</v>
      </c>
      <c r="N14" s="139">
        <v>107</v>
      </c>
      <c r="O14" s="139">
        <f t="shared" si="4"/>
        <v>100</v>
      </c>
    </row>
    <row r="15" spans="1:15" ht="15">
      <c r="A15" s="138">
        <f>6!A15</f>
        <v>5</v>
      </c>
      <c r="B15" s="30" t="str">
        <f>6!B15</f>
        <v>Seruyan</v>
      </c>
      <c r="C15" s="139">
        <v>3685</v>
      </c>
      <c r="D15" s="139">
        <v>2870</v>
      </c>
      <c r="E15" s="141">
        <f t="shared" si="0"/>
        <v>77.88331071913161</v>
      </c>
      <c r="F15" s="139">
        <v>3705</v>
      </c>
      <c r="G15" s="139">
        <v>1876</v>
      </c>
      <c r="H15" s="141">
        <f t="shared" si="1"/>
        <v>50.63427800269905</v>
      </c>
      <c r="I15" s="139">
        <f>6!C15</f>
        <v>3107</v>
      </c>
      <c r="J15" s="139">
        <v>3107</v>
      </c>
      <c r="K15" s="139">
        <f t="shared" si="2"/>
        <v>100</v>
      </c>
      <c r="L15" s="139">
        <v>23</v>
      </c>
      <c r="M15" s="141">
        <f t="shared" si="3"/>
        <v>0.7402639201802382</v>
      </c>
      <c r="N15" s="139">
        <v>23</v>
      </c>
      <c r="O15" s="139">
        <f t="shared" si="4"/>
        <v>100</v>
      </c>
    </row>
    <row r="16" spans="1:15" ht="15">
      <c r="A16" s="138">
        <f>6!A16</f>
        <v>6</v>
      </c>
      <c r="B16" s="30" t="str">
        <f>6!B16</f>
        <v>Katingan</v>
      </c>
      <c r="C16" s="139">
        <v>3433</v>
      </c>
      <c r="D16" s="139">
        <v>2736</v>
      </c>
      <c r="E16" s="141">
        <f t="shared" si="0"/>
        <v>79.6970579667929</v>
      </c>
      <c r="F16" s="139">
        <v>3433</v>
      </c>
      <c r="G16" s="139">
        <v>3039</v>
      </c>
      <c r="H16" s="141">
        <f t="shared" si="1"/>
        <v>88.52315758811535</v>
      </c>
      <c r="I16" s="139">
        <f>6!C16</f>
        <v>3581</v>
      </c>
      <c r="J16" s="139">
        <v>2652</v>
      </c>
      <c r="K16" s="139">
        <f t="shared" si="2"/>
        <v>74.05752583077353</v>
      </c>
      <c r="L16" s="139">
        <v>12</v>
      </c>
      <c r="M16" s="141">
        <f t="shared" si="3"/>
        <v>0.3351019268360793</v>
      </c>
      <c r="N16" s="139">
        <v>12</v>
      </c>
      <c r="O16" s="139">
        <f t="shared" si="4"/>
        <v>100</v>
      </c>
    </row>
    <row r="17" spans="1:15" ht="15">
      <c r="A17" s="138">
        <f>6!A17</f>
        <v>7</v>
      </c>
      <c r="B17" s="30" t="str">
        <f>6!B17</f>
        <v>Kapuas</v>
      </c>
      <c r="C17" s="139">
        <v>10481</v>
      </c>
      <c r="D17" s="139">
        <v>6995</v>
      </c>
      <c r="E17" s="141">
        <f t="shared" si="0"/>
        <v>66.73981490315809</v>
      </c>
      <c r="F17" s="139">
        <v>8520</v>
      </c>
      <c r="G17" s="139">
        <v>7152</v>
      </c>
      <c r="H17" s="141">
        <f t="shared" si="1"/>
        <v>83.94366197183099</v>
      </c>
      <c r="I17" s="139">
        <f>6!C17</f>
        <v>7861</v>
      </c>
      <c r="J17" s="139">
        <v>7861</v>
      </c>
      <c r="K17" s="139">
        <f t="shared" si="2"/>
        <v>100</v>
      </c>
      <c r="L17" s="139">
        <v>37</v>
      </c>
      <c r="M17" s="141">
        <f t="shared" si="3"/>
        <v>0.4706780307848874</v>
      </c>
      <c r="N17" s="139">
        <v>37</v>
      </c>
      <c r="O17" s="139">
        <f t="shared" si="4"/>
        <v>100</v>
      </c>
    </row>
    <row r="18" spans="1:15" ht="15">
      <c r="A18" s="138">
        <f>6!A18</f>
        <v>8</v>
      </c>
      <c r="B18" s="30" t="str">
        <f>6!B18</f>
        <v>Pulang Pisau</v>
      </c>
      <c r="C18" s="139">
        <v>3008</v>
      </c>
      <c r="D18" s="139">
        <v>2878</v>
      </c>
      <c r="E18" s="141">
        <f t="shared" si="0"/>
        <v>95.6781914893617</v>
      </c>
      <c r="F18" s="139">
        <v>3008</v>
      </c>
      <c r="G18" s="139">
        <v>2878</v>
      </c>
      <c r="H18" s="141">
        <f t="shared" si="1"/>
        <v>95.6781914893617</v>
      </c>
      <c r="I18" s="139">
        <f>6!C18</f>
        <v>2855</v>
      </c>
      <c r="J18" s="139">
        <v>2878</v>
      </c>
      <c r="K18" s="139">
        <f t="shared" si="2"/>
        <v>100.80560420315237</v>
      </c>
      <c r="L18" s="139">
        <v>20</v>
      </c>
      <c r="M18" s="141">
        <f t="shared" si="3"/>
        <v>0.7005253940455342</v>
      </c>
      <c r="N18" s="139">
        <v>18</v>
      </c>
      <c r="O18" s="139">
        <f t="shared" si="4"/>
        <v>90</v>
      </c>
    </row>
    <row r="19" spans="1:15" ht="15">
      <c r="A19" s="138">
        <f>6!A19</f>
        <v>9</v>
      </c>
      <c r="B19" s="30" t="str">
        <f>6!B19</f>
        <v>Gunung Mas</v>
      </c>
      <c r="C19" s="139">
        <v>2202</v>
      </c>
      <c r="D19" s="139">
        <v>1894</v>
      </c>
      <c r="E19" s="141">
        <f t="shared" si="0"/>
        <v>86.0127157129882</v>
      </c>
      <c r="F19" s="139">
        <v>2202</v>
      </c>
      <c r="G19" s="139">
        <v>1893</v>
      </c>
      <c r="H19" s="141">
        <f t="shared" si="1"/>
        <v>85.96730245231608</v>
      </c>
      <c r="I19" s="139">
        <f>6!C19</f>
        <v>2308</v>
      </c>
      <c r="J19" s="139">
        <v>1894</v>
      </c>
      <c r="K19" s="139">
        <f t="shared" si="2"/>
        <v>82.06239168110918</v>
      </c>
      <c r="L19" s="139">
        <v>20</v>
      </c>
      <c r="M19" s="141">
        <f t="shared" si="3"/>
        <v>0.8665511265164645</v>
      </c>
      <c r="N19" s="139">
        <v>20</v>
      </c>
      <c r="O19" s="139">
        <f t="shared" si="4"/>
        <v>100</v>
      </c>
    </row>
    <row r="20" spans="1:15" ht="15">
      <c r="A20" s="138">
        <f>6!A20</f>
        <v>10</v>
      </c>
      <c r="B20" s="30" t="str">
        <f>6!B20</f>
        <v>Barito Selatan</v>
      </c>
      <c r="C20" s="139">
        <v>2843</v>
      </c>
      <c r="D20" s="139">
        <v>2316</v>
      </c>
      <c r="E20" s="141">
        <f t="shared" si="0"/>
        <v>81.4632430531129</v>
      </c>
      <c r="F20" s="139">
        <v>2843</v>
      </c>
      <c r="G20" s="139">
        <v>2275</v>
      </c>
      <c r="H20" s="141">
        <f t="shared" si="1"/>
        <v>80.02110446711221</v>
      </c>
      <c r="I20" s="139">
        <f>6!C20</f>
        <v>2376</v>
      </c>
      <c r="J20" s="139">
        <v>2376</v>
      </c>
      <c r="K20" s="139">
        <f t="shared" si="2"/>
        <v>100</v>
      </c>
      <c r="L20" s="139">
        <v>25</v>
      </c>
      <c r="M20" s="141">
        <f t="shared" si="3"/>
        <v>1.0521885521885523</v>
      </c>
      <c r="N20" s="139">
        <v>25</v>
      </c>
      <c r="O20" s="139">
        <f t="shared" si="4"/>
        <v>100</v>
      </c>
    </row>
    <row r="21" spans="1:15" ht="15">
      <c r="A21" s="138">
        <f>6!A21</f>
        <v>11</v>
      </c>
      <c r="B21" s="30" t="str">
        <f>6!B21</f>
        <v>Barito Timur</v>
      </c>
      <c r="C21" s="139">
        <v>1701</v>
      </c>
      <c r="D21" s="139">
        <v>1701</v>
      </c>
      <c r="E21" s="141">
        <f t="shared" si="0"/>
        <v>100</v>
      </c>
      <c r="F21" s="139">
        <v>2363</v>
      </c>
      <c r="G21" s="139">
        <v>1917</v>
      </c>
      <c r="H21" s="141">
        <f t="shared" si="1"/>
        <v>81.12568768514599</v>
      </c>
      <c r="I21" s="139">
        <f>6!C21</f>
        <v>1601</v>
      </c>
      <c r="J21" s="139">
        <v>21</v>
      </c>
      <c r="K21" s="139">
        <f t="shared" si="2"/>
        <v>1.311680199875078</v>
      </c>
      <c r="L21" s="139">
        <v>39</v>
      </c>
      <c r="M21" s="141">
        <f t="shared" si="3"/>
        <v>2.4359775140537163</v>
      </c>
      <c r="N21" s="139">
        <v>39</v>
      </c>
      <c r="O21" s="139">
        <f t="shared" si="4"/>
        <v>100</v>
      </c>
    </row>
    <row r="22" spans="1:15" ht="15">
      <c r="A22" s="138">
        <f>6!A22</f>
        <v>12</v>
      </c>
      <c r="B22" s="138" t="str">
        <f>6!B22</f>
        <v>Barito Utara</v>
      </c>
      <c r="C22" s="139">
        <v>2516</v>
      </c>
      <c r="D22" s="139">
        <v>2570</v>
      </c>
      <c r="E22" s="141">
        <f t="shared" si="0"/>
        <v>102.1462639109698</v>
      </c>
      <c r="F22" s="139">
        <v>2516</v>
      </c>
      <c r="G22" s="139">
        <v>2853</v>
      </c>
      <c r="H22" s="141">
        <f t="shared" si="1"/>
        <v>113.39427662957075</v>
      </c>
      <c r="I22" s="139">
        <f>6!C22</f>
        <v>2516</v>
      </c>
      <c r="J22" s="139">
        <v>2516</v>
      </c>
      <c r="K22" s="139">
        <f t="shared" si="2"/>
        <v>100</v>
      </c>
      <c r="L22" s="139">
        <v>36</v>
      </c>
      <c r="M22" s="141">
        <f t="shared" si="3"/>
        <v>1.4308426073131957</v>
      </c>
      <c r="N22" s="139">
        <v>34</v>
      </c>
      <c r="O22" s="139">
        <f t="shared" si="4"/>
        <v>94.44444444444444</v>
      </c>
    </row>
    <row r="23" spans="1:15" ht="15">
      <c r="A23" s="138">
        <f>6!A23</f>
        <v>13</v>
      </c>
      <c r="B23" s="30" t="str">
        <f>6!B23</f>
        <v>Murung Raya</v>
      </c>
      <c r="C23" s="139">
        <v>2384</v>
      </c>
      <c r="D23" s="139">
        <v>1339</v>
      </c>
      <c r="E23" s="141">
        <f t="shared" si="0"/>
        <v>56.16610738255034</v>
      </c>
      <c r="F23" s="139">
        <v>2384</v>
      </c>
      <c r="G23" s="139">
        <v>1463</v>
      </c>
      <c r="H23" s="141">
        <f t="shared" si="1"/>
        <v>61.36744966442953</v>
      </c>
      <c r="I23" s="139">
        <f>6!C23</f>
        <v>2313</v>
      </c>
      <c r="J23" s="139">
        <v>2156</v>
      </c>
      <c r="K23" s="139">
        <f t="shared" si="2"/>
        <v>93.2122784262862</v>
      </c>
      <c r="L23" s="139">
        <v>60</v>
      </c>
      <c r="M23" s="141">
        <f t="shared" si="3"/>
        <v>2.594033722438392</v>
      </c>
      <c r="N23" s="139">
        <v>60</v>
      </c>
      <c r="O23" s="139">
        <f t="shared" si="4"/>
        <v>100</v>
      </c>
    </row>
    <row r="24" spans="1:15" ht="15">
      <c r="A24" s="138">
        <f>6!A24</f>
        <v>14</v>
      </c>
      <c r="B24" s="30" t="str">
        <f>6!B24</f>
        <v>Palangka Raya</v>
      </c>
      <c r="C24" s="139">
        <v>5006</v>
      </c>
      <c r="D24" s="139">
        <v>4373</v>
      </c>
      <c r="E24" s="141">
        <f t="shared" si="0"/>
        <v>87.35517379145026</v>
      </c>
      <c r="F24" s="139">
        <v>5006</v>
      </c>
      <c r="G24" s="139">
        <v>3198</v>
      </c>
      <c r="H24" s="141">
        <f t="shared" si="1"/>
        <v>63.88333999200959</v>
      </c>
      <c r="I24" s="139">
        <v>4683</v>
      </c>
      <c r="J24" s="139">
        <v>4488</v>
      </c>
      <c r="K24" s="139">
        <f t="shared" si="2"/>
        <v>95.83600256245997</v>
      </c>
      <c r="L24" s="139">
        <v>52</v>
      </c>
      <c r="M24" s="141">
        <f t="shared" si="3"/>
        <v>1.1103993166773436</v>
      </c>
      <c r="N24" s="139">
        <v>50</v>
      </c>
      <c r="O24" s="139">
        <f t="shared" si="4"/>
        <v>96.15384615384616</v>
      </c>
    </row>
    <row r="25" spans="1:15" ht="15">
      <c r="A25" s="30"/>
      <c r="B25" s="33"/>
      <c r="C25" s="139"/>
      <c r="D25" s="139"/>
      <c r="E25" s="143"/>
      <c r="F25" s="139"/>
      <c r="G25" s="139"/>
      <c r="H25" s="143"/>
      <c r="I25" s="164"/>
      <c r="J25" s="164"/>
      <c r="K25" s="139"/>
      <c r="L25" s="139"/>
      <c r="M25" s="143"/>
      <c r="N25" s="139"/>
      <c r="O25" s="139"/>
    </row>
    <row r="26" spans="1:15" ht="19.5" customHeight="1" thickBot="1">
      <c r="A26" s="69" t="s">
        <v>859</v>
      </c>
      <c r="B26" s="70"/>
      <c r="C26" s="167">
        <f>SUM(C11:C25)</f>
        <v>52813</v>
      </c>
      <c r="D26" s="167">
        <f>SUM(D11:D25)</f>
        <v>42474</v>
      </c>
      <c r="E26" s="184">
        <f t="shared" si="0"/>
        <v>80.4233806070475</v>
      </c>
      <c r="F26" s="167">
        <f>SUM(F11:F25)</f>
        <v>51521</v>
      </c>
      <c r="G26" s="167">
        <f>SUM(G11:G25)</f>
        <v>42039</v>
      </c>
      <c r="H26" s="184">
        <f t="shared" si="1"/>
        <v>81.5958541177384</v>
      </c>
      <c r="I26" s="167">
        <f>SUM(I11:I25)</f>
        <v>47144</v>
      </c>
      <c r="J26" s="167">
        <f>SUM(J11:J25)</f>
        <v>42820</v>
      </c>
      <c r="K26" s="167">
        <f t="shared" si="2"/>
        <v>90.82810113694212</v>
      </c>
      <c r="L26" s="167">
        <f>SUM(L11:L25)</f>
        <v>710</v>
      </c>
      <c r="M26" s="160">
        <f t="shared" si="3"/>
        <v>1.5060240963855422</v>
      </c>
      <c r="N26" s="167">
        <f>SUM(N11:N25)</f>
        <v>698</v>
      </c>
      <c r="O26" s="167">
        <f t="shared" si="4"/>
        <v>98.30985915492958</v>
      </c>
    </row>
    <row r="27" spans="1:15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14"/>
      <c r="N27" s="9"/>
      <c r="O27" s="9"/>
    </row>
    <row r="28" ht="15">
      <c r="A28" s="525" t="s">
        <v>243</v>
      </c>
    </row>
    <row r="29" ht="15">
      <c r="O29" s="511"/>
    </row>
  </sheetData>
  <mergeCells count="8">
    <mergeCell ref="A3:O3"/>
    <mergeCell ref="F7:H8"/>
    <mergeCell ref="I7:O8"/>
    <mergeCell ref="C7:E8"/>
    <mergeCell ref="A7:A9"/>
    <mergeCell ref="B7:B9"/>
    <mergeCell ref="A4:O4"/>
    <mergeCell ref="A5:O5"/>
  </mergeCells>
  <printOptions horizontalCentered="1"/>
  <pageMargins left="1.6929133858267718" right="0.9055118110236221" top="1.141732283464567" bottom="0.9055118110236221" header="0" footer="1.1811023622047245"/>
  <pageSetup fitToHeight="1" fitToWidth="1" horizontalDpi="300" verticalDpi="300" orientation="landscape" paperSize="9" scale="58" r:id="rId1"/>
  <headerFooter alignWithMargins="0">
    <oddFooter>&amp;C72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28"/>
  <sheetViews>
    <sheetView view="pageBreakPreview" zoomScale="60" zoomScaleNormal="75" workbookViewId="0" topLeftCell="A1">
      <selection activeCell="E34" sqref="E34"/>
    </sheetView>
  </sheetViews>
  <sheetFormatPr defaultColWidth="9.140625" defaultRowHeight="12.75"/>
  <cols>
    <col min="1" max="1" width="5.7109375" style="14" customWidth="1"/>
    <col min="2" max="2" width="25.7109375" style="14" customWidth="1"/>
    <col min="3" max="12" width="14.28125" style="14" customWidth="1"/>
    <col min="13" max="16384" width="9.140625" style="14" customWidth="1"/>
  </cols>
  <sheetData>
    <row r="1" ht="15">
      <c r="A1" s="42" t="s">
        <v>288</v>
      </c>
    </row>
    <row r="3" spans="1:12" ht="15">
      <c r="A3" s="641" t="s">
        <v>325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</row>
    <row r="4" spans="1:12" ht="15">
      <c r="A4" s="641" t="str">
        <f>1!A5</f>
        <v>PROVINSI KALIMANTAN TENGAH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</row>
    <row r="5" spans="1:12" ht="15">
      <c r="A5" s="641" t="str">
        <f>1!A6</f>
        <v>TAHUN 2009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</row>
    <row r="6" spans="1:12" ht="15.75" thickBo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ht="25.5" customHeight="1">
      <c r="A7" s="635" t="s">
        <v>2</v>
      </c>
      <c r="B7" s="638" t="s">
        <v>844</v>
      </c>
      <c r="C7" s="154" t="s">
        <v>217</v>
      </c>
      <c r="D7" s="179"/>
      <c r="E7" s="179"/>
      <c r="F7" s="155"/>
      <c r="G7" s="155"/>
      <c r="H7" s="652" t="s">
        <v>228</v>
      </c>
      <c r="I7" s="653"/>
      <c r="J7" s="653"/>
      <c r="K7" s="653"/>
      <c r="L7" s="650" t="s">
        <v>229</v>
      </c>
    </row>
    <row r="8" spans="1:12" ht="48.75" customHeight="1">
      <c r="A8" s="636"/>
      <c r="B8" s="639"/>
      <c r="C8" s="94" t="s">
        <v>227</v>
      </c>
      <c r="D8" s="105" t="s">
        <v>23</v>
      </c>
      <c r="E8" s="27" t="s">
        <v>199</v>
      </c>
      <c r="F8" s="27" t="s">
        <v>24</v>
      </c>
      <c r="G8" s="255" t="s">
        <v>529</v>
      </c>
      <c r="H8" s="182" t="s">
        <v>23</v>
      </c>
      <c r="I8" s="6" t="s">
        <v>199</v>
      </c>
      <c r="J8" s="27" t="s">
        <v>24</v>
      </c>
      <c r="K8" s="255" t="s">
        <v>529</v>
      </c>
      <c r="L8" s="651"/>
    </row>
    <row r="9" spans="1:12" ht="15">
      <c r="A9" s="59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</row>
    <row r="10" spans="1:12" ht="15">
      <c r="A10" s="138">
        <f>6!A11</f>
        <v>1</v>
      </c>
      <c r="B10" s="30" t="str">
        <f>6!B11</f>
        <v>Kotawaringin Barat</v>
      </c>
      <c r="C10" s="139">
        <f>6!H11</f>
        <v>20258</v>
      </c>
      <c r="D10" s="139">
        <v>7287</v>
      </c>
      <c r="E10" s="139">
        <v>4884</v>
      </c>
      <c r="F10" s="140">
        <v>246</v>
      </c>
      <c r="G10" s="140">
        <v>7</v>
      </c>
      <c r="H10" s="181">
        <f>D10/C10*100</f>
        <v>35.97097442985488</v>
      </c>
      <c r="I10" s="181">
        <f>E10/D10*100</f>
        <v>67.02346644709756</v>
      </c>
      <c r="J10" s="181">
        <f>F10/D10*100</f>
        <v>3.37587484561548</v>
      </c>
      <c r="K10" s="181">
        <f>G10/D10*100</f>
        <v>0.09606147934678194</v>
      </c>
      <c r="L10" s="142" t="s">
        <v>911</v>
      </c>
    </row>
    <row r="11" spans="1:12" ht="15">
      <c r="A11" s="138">
        <f>6!A12</f>
        <v>2</v>
      </c>
      <c r="B11" s="30" t="str">
        <f>6!B12</f>
        <v>Lamandau</v>
      </c>
      <c r="C11" s="139">
        <f>6!H12</f>
        <v>6134</v>
      </c>
      <c r="D11" s="139">
        <v>2719</v>
      </c>
      <c r="E11" s="139">
        <v>1796</v>
      </c>
      <c r="F11" s="139">
        <v>50</v>
      </c>
      <c r="G11" s="139">
        <v>1</v>
      </c>
      <c r="H11" s="141">
        <f aca="true" t="shared" si="0" ref="H11:H23">D11/C11*100</f>
        <v>44.32670361917183</v>
      </c>
      <c r="I11" s="141">
        <f aca="true" t="shared" si="1" ref="I11:I23">E11/D11*100</f>
        <v>66.05369621184259</v>
      </c>
      <c r="J11" s="141">
        <f aca="true" t="shared" si="2" ref="J11:J23">F11/D11*100</f>
        <v>1.8389113644722324</v>
      </c>
      <c r="K11" s="141">
        <f aca="true" t="shared" si="3" ref="K11:K23">G11/D11*100</f>
        <v>0.03677822728944465</v>
      </c>
      <c r="L11" s="138">
        <v>9</v>
      </c>
    </row>
    <row r="12" spans="1:12" ht="15">
      <c r="A12" s="138">
        <f>6!A13</f>
        <v>3</v>
      </c>
      <c r="B12" s="30" t="str">
        <f>6!B13</f>
        <v>Sukamara</v>
      </c>
      <c r="C12" s="139">
        <f>6!H13</f>
        <v>3120</v>
      </c>
      <c r="D12" s="139">
        <v>1367</v>
      </c>
      <c r="E12" s="139">
        <v>1027</v>
      </c>
      <c r="F12" s="139">
        <v>45</v>
      </c>
      <c r="G12" s="139">
        <v>6</v>
      </c>
      <c r="H12" s="141">
        <f t="shared" si="0"/>
        <v>43.81410256410256</v>
      </c>
      <c r="I12" s="141">
        <f t="shared" si="1"/>
        <v>75.1280175566935</v>
      </c>
      <c r="J12" s="141">
        <f t="shared" si="2"/>
        <v>3.2918800292611556</v>
      </c>
      <c r="K12" s="141">
        <f t="shared" si="3"/>
        <v>0.43891733723482074</v>
      </c>
      <c r="L12" s="138">
        <v>5</v>
      </c>
    </row>
    <row r="13" spans="1:12" ht="15">
      <c r="A13" s="138">
        <f>6!A14</f>
        <v>4</v>
      </c>
      <c r="B13" s="30" t="str">
        <f>6!B14</f>
        <v>Kotawaringin Timur</v>
      </c>
      <c r="C13" s="139">
        <f>6!H14</f>
        <v>30020</v>
      </c>
      <c r="D13" s="139">
        <v>17742</v>
      </c>
      <c r="E13" s="139">
        <v>13963</v>
      </c>
      <c r="F13" s="139">
        <v>640</v>
      </c>
      <c r="G13" s="139">
        <v>186</v>
      </c>
      <c r="H13" s="141">
        <f t="shared" si="0"/>
        <v>59.10059960026649</v>
      </c>
      <c r="I13" s="141">
        <f t="shared" si="1"/>
        <v>78.70025927178446</v>
      </c>
      <c r="J13" s="141">
        <f t="shared" si="2"/>
        <v>3.607259609965055</v>
      </c>
      <c r="K13" s="141">
        <f t="shared" si="3"/>
        <v>1.048359824146094</v>
      </c>
      <c r="L13" s="138" t="s">
        <v>694</v>
      </c>
    </row>
    <row r="14" spans="1:12" ht="15">
      <c r="A14" s="138">
        <f>6!A15</f>
        <v>5</v>
      </c>
      <c r="B14" s="30" t="str">
        <f>6!B15</f>
        <v>Seruyan</v>
      </c>
      <c r="C14" s="139">
        <f>6!H15</f>
        <v>15369</v>
      </c>
      <c r="D14" s="139">
        <v>4728</v>
      </c>
      <c r="E14" s="139">
        <v>4309</v>
      </c>
      <c r="F14" s="139">
        <v>124</v>
      </c>
      <c r="G14" s="139">
        <v>8</v>
      </c>
      <c r="H14" s="141">
        <f t="shared" si="0"/>
        <v>30.763224673043137</v>
      </c>
      <c r="I14" s="141">
        <f t="shared" si="1"/>
        <v>91.13790186125212</v>
      </c>
      <c r="J14" s="141">
        <f t="shared" si="2"/>
        <v>2.622673434856176</v>
      </c>
      <c r="K14" s="141">
        <f t="shared" si="3"/>
        <v>0.1692047377326565</v>
      </c>
      <c r="L14" s="138" t="s">
        <v>694</v>
      </c>
    </row>
    <row r="15" spans="1:12" ht="15">
      <c r="A15" s="138">
        <f>6!A16</f>
        <v>6</v>
      </c>
      <c r="B15" s="30" t="str">
        <f>6!B16</f>
        <v>Katingan</v>
      </c>
      <c r="C15" s="139">
        <f>6!H16</f>
        <v>13901</v>
      </c>
      <c r="D15" s="139">
        <v>2652</v>
      </c>
      <c r="E15" s="139">
        <v>3037</v>
      </c>
      <c r="F15" s="139">
        <v>555</v>
      </c>
      <c r="G15" s="139">
        <v>136</v>
      </c>
      <c r="H15" s="141">
        <f t="shared" si="0"/>
        <v>19.077764189626645</v>
      </c>
      <c r="I15" s="141">
        <f t="shared" si="1"/>
        <v>114.51734539969833</v>
      </c>
      <c r="J15" s="141">
        <f t="shared" si="2"/>
        <v>20.92760180995475</v>
      </c>
      <c r="K15" s="141">
        <f t="shared" si="3"/>
        <v>5.128205128205128</v>
      </c>
      <c r="L15" s="138" t="s">
        <v>694</v>
      </c>
    </row>
    <row r="16" spans="1:12" ht="15">
      <c r="A16" s="138">
        <f>6!A17</f>
        <v>7</v>
      </c>
      <c r="B16" s="30" t="str">
        <f>6!B17</f>
        <v>Kapuas</v>
      </c>
      <c r="C16" s="139">
        <f>6!H17</f>
        <v>35093</v>
      </c>
      <c r="D16" s="139">
        <v>29957</v>
      </c>
      <c r="E16" s="139">
        <v>25678</v>
      </c>
      <c r="F16" s="139">
        <v>4221</v>
      </c>
      <c r="G16" s="139">
        <v>21</v>
      </c>
      <c r="H16" s="141">
        <f t="shared" si="0"/>
        <v>85.36460262730459</v>
      </c>
      <c r="I16" s="141">
        <f t="shared" si="1"/>
        <v>85.71619321026806</v>
      </c>
      <c r="J16" s="141">
        <f t="shared" si="2"/>
        <v>14.090195947524787</v>
      </c>
      <c r="K16" s="141">
        <f t="shared" si="3"/>
        <v>0.07010047735086958</v>
      </c>
      <c r="L16" s="138">
        <v>9</v>
      </c>
    </row>
    <row r="17" spans="1:12" ht="15">
      <c r="A17" s="138">
        <f>6!A18</f>
        <v>8</v>
      </c>
      <c r="B17" s="30" t="str">
        <f>6!B18</f>
        <v>Pulang Pisau</v>
      </c>
      <c r="C17" s="139">
        <f>6!H18</f>
        <v>10491</v>
      </c>
      <c r="D17" s="139">
        <v>6874</v>
      </c>
      <c r="E17" s="139">
        <v>4539</v>
      </c>
      <c r="F17" s="139">
        <v>217</v>
      </c>
      <c r="G17" s="139">
        <v>0</v>
      </c>
      <c r="H17" s="141">
        <f t="shared" si="0"/>
        <v>65.52282909160233</v>
      </c>
      <c r="I17" s="141">
        <f t="shared" si="1"/>
        <v>66.03142275240035</v>
      </c>
      <c r="J17" s="141">
        <f t="shared" si="2"/>
        <v>3.1568228105906315</v>
      </c>
      <c r="K17" s="141">
        <f t="shared" si="3"/>
        <v>0</v>
      </c>
      <c r="L17" s="138" t="s">
        <v>694</v>
      </c>
    </row>
    <row r="18" spans="1:12" ht="15">
      <c r="A18" s="138">
        <f>6!A19</f>
        <v>9</v>
      </c>
      <c r="B18" s="30" t="str">
        <f>6!B19</f>
        <v>Gunung Mas</v>
      </c>
      <c r="C18" s="139">
        <f>6!H19</f>
        <v>8917</v>
      </c>
      <c r="D18" s="139">
        <v>5716</v>
      </c>
      <c r="E18" s="139">
        <v>2738</v>
      </c>
      <c r="F18" s="139">
        <v>46</v>
      </c>
      <c r="G18" s="139">
        <v>2</v>
      </c>
      <c r="H18" s="141">
        <f t="shared" si="0"/>
        <v>64.10227655040933</v>
      </c>
      <c r="I18" s="141">
        <f t="shared" si="1"/>
        <v>47.90062981105668</v>
      </c>
      <c r="J18" s="141">
        <f t="shared" si="2"/>
        <v>0.8047585724282715</v>
      </c>
      <c r="K18" s="141">
        <f t="shared" si="3"/>
        <v>0.03498950314905528</v>
      </c>
      <c r="L18" s="138">
        <v>13</v>
      </c>
    </row>
    <row r="19" spans="1:12" ht="15">
      <c r="A19" s="138">
        <f>6!A20</f>
        <v>10</v>
      </c>
      <c r="B19" s="30" t="str">
        <f>6!B20</f>
        <v>Barito Selatan</v>
      </c>
      <c r="C19" s="139">
        <f>6!H20</f>
        <v>14854</v>
      </c>
      <c r="D19" s="139">
        <v>7668</v>
      </c>
      <c r="E19" s="139">
        <v>5369</v>
      </c>
      <c r="F19" s="139">
        <v>190</v>
      </c>
      <c r="G19" s="139">
        <v>5</v>
      </c>
      <c r="H19" s="141">
        <f t="shared" si="0"/>
        <v>51.6224585970109</v>
      </c>
      <c r="I19" s="141">
        <f t="shared" si="1"/>
        <v>70.01825769431403</v>
      </c>
      <c r="J19" s="141">
        <f t="shared" si="2"/>
        <v>2.477829942618675</v>
      </c>
      <c r="K19" s="141">
        <f t="shared" si="3"/>
        <v>0.06520605112154408</v>
      </c>
      <c r="L19" s="138">
        <v>6</v>
      </c>
    </row>
    <row r="20" spans="1:12" ht="15">
      <c r="A20" s="138">
        <f>6!A21</f>
        <v>11</v>
      </c>
      <c r="B20" s="30" t="str">
        <f>6!B21</f>
        <v>Barito Timur</v>
      </c>
      <c r="C20" s="139">
        <f>6!H21</f>
        <v>9239</v>
      </c>
      <c r="D20" s="139">
        <v>6232</v>
      </c>
      <c r="E20" s="139">
        <v>4680</v>
      </c>
      <c r="F20" s="139">
        <v>103</v>
      </c>
      <c r="G20" s="139">
        <v>0</v>
      </c>
      <c r="H20" s="141">
        <f t="shared" si="0"/>
        <v>67.45318757441282</v>
      </c>
      <c r="I20" s="141">
        <f t="shared" si="1"/>
        <v>75.09627727856227</v>
      </c>
      <c r="J20" s="141">
        <f t="shared" si="2"/>
        <v>1.652759948652118</v>
      </c>
      <c r="K20" s="141">
        <f t="shared" si="3"/>
        <v>0</v>
      </c>
      <c r="L20" s="138">
        <v>0</v>
      </c>
    </row>
    <row r="21" spans="1:12" ht="15">
      <c r="A21" s="138">
        <f>6!A22</f>
        <v>12</v>
      </c>
      <c r="B21" s="30" t="str">
        <f>6!B22</f>
        <v>Barito Utara</v>
      </c>
      <c r="C21" s="139">
        <f>6!H22</f>
        <v>11518</v>
      </c>
      <c r="D21" s="139">
        <v>5633</v>
      </c>
      <c r="E21" s="139">
        <v>3853</v>
      </c>
      <c r="F21" s="139">
        <v>94</v>
      </c>
      <c r="G21" s="139">
        <v>245</v>
      </c>
      <c r="H21" s="141">
        <f t="shared" si="0"/>
        <v>48.90606007987498</v>
      </c>
      <c r="I21" s="141">
        <f t="shared" si="1"/>
        <v>68.40049707083259</v>
      </c>
      <c r="J21" s="141">
        <f t="shared" si="2"/>
        <v>1.668737795135807</v>
      </c>
      <c r="K21" s="141">
        <f t="shared" si="3"/>
        <v>4.349369785194391</v>
      </c>
      <c r="L21" s="138" t="s">
        <v>694</v>
      </c>
    </row>
    <row r="22" spans="1:12" ht="15">
      <c r="A22" s="138">
        <f>6!A23</f>
        <v>13</v>
      </c>
      <c r="B22" s="30" t="str">
        <f>6!B23</f>
        <v>Murung Raya</v>
      </c>
      <c r="C22" s="139">
        <f>6!H23</f>
        <v>9744</v>
      </c>
      <c r="D22" s="139">
        <v>3911</v>
      </c>
      <c r="E22" s="139">
        <v>3093</v>
      </c>
      <c r="F22" s="139">
        <v>138</v>
      </c>
      <c r="G22" s="139">
        <v>3</v>
      </c>
      <c r="H22" s="141">
        <f t="shared" si="0"/>
        <v>40.137520525451556</v>
      </c>
      <c r="I22" s="141">
        <f t="shared" si="1"/>
        <v>79.08463308616722</v>
      </c>
      <c r="J22" s="141">
        <f t="shared" si="2"/>
        <v>3.528509332651496</v>
      </c>
      <c r="K22" s="141">
        <f t="shared" si="3"/>
        <v>0.0767067246228586</v>
      </c>
      <c r="L22" s="138" t="s">
        <v>694</v>
      </c>
    </row>
    <row r="23" spans="1:12" ht="15">
      <c r="A23" s="138">
        <f>6!A24</f>
        <v>14</v>
      </c>
      <c r="B23" s="30" t="str">
        <f>6!B24</f>
        <v>Palangka Raya</v>
      </c>
      <c r="C23" s="139">
        <f>6!H24</f>
        <v>19919</v>
      </c>
      <c r="D23" s="139">
        <v>10285</v>
      </c>
      <c r="E23" s="139">
        <v>7459</v>
      </c>
      <c r="F23" s="139">
        <v>278</v>
      </c>
      <c r="G23" s="139">
        <v>3</v>
      </c>
      <c r="H23" s="141">
        <f t="shared" si="0"/>
        <v>51.634118178623424</v>
      </c>
      <c r="I23" s="141">
        <f t="shared" si="1"/>
        <v>72.52309188138065</v>
      </c>
      <c r="J23" s="141">
        <f t="shared" si="2"/>
        <v>2.702965483714147</v>
      </c>
      <c r="K23" s="141">
        <f t="shared" si="3"/>
        <v>0.029168692270296552</v>
      </c>
      <c r="L23" s="138">
        <v>5</v>
      </c>
    </row>
    <row r="24" spans="1:12" ht="15">
      <c r="A24" s="35"/>
      <c r="B24" s="33"/>
      <c r="C24" s="139"/>
      <c r="D24" s="139"/>
      <c r="E24" s="139"/>
      <c r="F24" s="139"/>
      <c r="G24" s="139"/>
      <c r="H24" s="143"/>
      <c r="I24" s="143"/>
      <c r="J24" s="143"/>
      <c r="K24" s="143"/>
      <c r="L24" s="138"/>
    </row>
    <row r="25" spans="1:12" ht="19.5" customHeight="1" thickBot="1">
      <c r="A25" s="69" t="s">
        <v>859</v>
      </c>
      <c r="B25" s="70"/>
      <c r="C25" s="167">
        <f>SUM(C10:C24)</f>
        <v>208577</v>
      </c>
      <c r="D25" s="167">
        <f>SUM(D10:D24)</f>
        <v>112771</v>
      </c>
      <c r="E25" s="167">
        <f>SUM(E10:E24)</f>
        <v>86425</v>
      </c>
      <c r="F25" s="167">
        <f>SUM(F10:F24)</f>
        <v>6947</v>
      </c>
      <c r="G25" s="167">
        <f>SUM(G10:G24)</f>
        <v>623</v>
      </c>
      <c r="H25" s="160">
        <f>D25/C25*100</f>
        <v>54.06684341993604</v>
      </c>
      <c r="I25" s="160">
        <f>E25/D25*100</f>
        <v>76.63761073325588</v>
      </c>
      <c r="J25" s="160">
        <f>F25/D25*100</f>
        <v>6.160271701057896</v>
      </c>
      <c r="K25" s="160">
        <f>G25/D25*100</f>
        <v>0.5524469943513847</v>
      </c>
      <c r="L25" s="167">
        <f>SUM(L10:L24)</f>
        <v>47</v>
      </c>
    </row>
    <row r="26" spans="1:11" ht="15">
      <c r="A26" s="9"/>
      <c r="B26" s="9"/>
      <c r="C26" s="18"/>
      <c r="D26" s="18"/>
      <c r="E26" s="18"/>
      <c r="F26" s="18"/>
      <c r="G26" s="18"/>
      <c r="H26" s="18"/>
      <c r="I26" s="18"/>
      <c r="J26" s="18"/>
      <c r="K26" s="18"/>
    </row>
    <row r="27" spans="1:12" ht="15">
      <c r="A27" s="525" t="s">
        <v>243</v>
      </c>
      <c r="C27" s="466"/>
      <c r="L27" s="511"/>
    </row>
    <row r="28" spans="1:2" ht="15">
      <c r="A28" s="14" t="s">
        <v>694</v>
      </c>
      <c r="B28" s="390" t="s">
        <v>965</v>
      </c>
    </row>
  </sheetData>
  <mergeCells count="7">
    <mergeCell ref="A3:L3"/>
    <mergeCell ref="A4:L4"/>
    <mergeCell ref="A5:L5"/>
    <mergeCell ref="L7:L8"/>
    <mergeCell ref="A7:A8"/>
    <mergeCell ref="B7:B8"/>
    <mergeCell ref="H7:K7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67" r:id="rId1"/>
  <headerFooter alignWithMargins="0">
    <oddFooter>&amp;C73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M29"/>
  <sheetViews>
    <sheetView zoomScale="75" zoomScaleNormal="75" workbookViewId="0" topLeftCell="A1">
      <selection activeCell="A26" sqref="A26"/>
    </sheetView>
  </sheetViews>
  <sheetFormatPr defaultColWidth="9.140625" defaultRowHeight="12.75"/>
  <cols>
    <col min="1" max="1" width="5.7109375" style="133" customWidth="1"/>
    <col min="2" max="2" width="21.7109375" style="133" customWidth="1"/>
    <col min="3" max="10" width="12.7109375" style="133" customWidth="1"/>
    <col min="11" max="11" width="11.57421875" style="133" customWidth="1"/>
    <col min="12" max="12" width="13.140625" style="133" customWidth="1"/>
    <col min="13" max="16384" width="9.140625" style="133" customWidth="1"/>
  </cols>
  <sheetData>
    <row r="1" ht="15">
      <c r="A1" s="132" t="s">
        <v>289</v>
      </c>
    </row>
    <row r="3" spans="1:13" ht="15">
      <c r="A3" s="654" t="s">
        <v>840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</row>
    <row r="4" spans="1:13" ht="15">
      <c r="A4" s="654" t="str">
        <f>1!A5</f>
        <v>PROVINSI KALIMANTAN TENGAH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</row>
    <row r="5" spans="1:13" ht="15">
      <c r="A5" s="654" t="str">
        <f>1!A6</f>
        <v>TAHUN 2009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</row>
    <row r="6" spans="1:13" ht="15.75" thickBot="1">
      <c r="A6" s="73"/>
      <c r="K6" s="448"/>
      <c r="L6" s="448"/>
      <c r="M6" s="448"/>
    </row>
    <row r="7" spans="1:13" ht="15">
      <c r="A7" s="637" t="s">
        <v>2</v>
      </c>
      <c r="B7" s="637" t="s">
        <v>844</v>
      </c>
      <c r="C7" s="568" t="s">
        <v>11</v>
      </c>
      <c r="D7" s="569"/>
      <c r="E7" s="569"/>
      <c r="F7" s="569"/>
      <c r="G7" s="569"/>
      <c r="H7" s="546" t="s">
        <v>12</v>
      </c>
      <c r="I7" s="569"/>
      <c r="J7" s="570"/>
      <c r="K7" s="568" t="s">
        <v>13</v>
      </c>
      <c r="L7" s="569"/>
      <c r="M7" s="570"/>
    </row>
    <row r="8" spans="1:13" ht="15">
      <c r="A8" s="638"/>
      <c r="B8" s="638"/>
      <c r="C8" s="549"/>
      <c r="D8" s="550"/>
      <c r="E8" s="550"/>
      <c r="F8" s="550"/>
      <c r="G8" s="550"/>
      <c r="H8" s="552"/>
      <c r="I8" s="553"/>
      <c r="J8" s="554"/>
      <c r="K8" s="549"/>
      <c r="L8" s="550"/>
      <c r="M8" s="551"/>
    </row>
    <row r="9" spans="1:13" ht="45" customHeight="1">
      <c r="A9" s="639"/>
      <c r="B9" s="639"/>
      <c r="C9" s="59" t="s">
        <v>21</v>
      </c>
      <c r="D9" s="136" t="s">
        <v>530</v>
      </c>
      <c r="E9" s="136" t="s">
        <v>27</v>
      </c>
      <c r="F9" s="136" t="s">
        <v>350</v>
      </c>
      <c r="G9" s="136" t="s">
        <v>27</v>
      </c>
      <c r="H9" s="59" t="s">
        <v>21</v>
      </c>
      <c r="I9" s="136" t="s">
        <v>720</v>
      </c>
      <c r="J9" s="136" t="s">
        <v>27</v>
      </c>
      <c r="K9" s="228" t="s">
        <v>21</v>
      </c>
      <c r="L9" s="449" t="s">
        <v>839</v>
      </c>
      <c r="M9" s="255" t="s">
        <v>27</v>
      </c>
    </row>
    <row r="10" spans="1:13" ht="15">
      <c r="A10" s="59">
        <v>1</v>
      </c>
      <c r="B10" s="59">
        <v>2</v>
      </c>
      <c r="C10" s="59">
        <v>4</v>
      </c>
      <c r="D10" s="59">
        <v>5</v>
      </c>
      <c r="E10" s="59">
        <v>6</v>
      </c>
      <c r="F10" s="59">
        <v>7</v>
      </c>
      <c r="G10" s="59">
        <v>8</v>
      </c>
      <c r="H10" s="59">
        <v>9</v>
      </c>
      <c r="I10" s="59">
        <v>10</v>
      </c>
      <c r="J10" s="59">
        <v>11</v>
      </c>
      <c r="K10" s="228"/>
      <c r="L10" s="228"/>
      <c r="M10" s="228"/>
    </row>
    <row r="11" spans="1:13" ht="15">
      <c r="A11" s="142">
        <f>6!A11</f>
        <v>1</v>
      </c>
      <c r="B11" s="138" t="str">
        <f>6!B11</f>
        <v>Kotawaringin Barat</v>
      </c>
      <c r="C11" s="139">
        <v>5703</v>
      </c>
      <c r="D11" s="139">
        <v>5303</v>
      </c>
      <c r="E11" s="139">
        <f>D11/C11*100</f>
        <v>92.98614764159214</v>
      </c>
      <c r="F11" s="139">
        <v>4697</v>
      </c>
      <c r="G11" s="141">
        <f>F11/C11*100</f>
        <v>82.36016131860424</v>
      </c>
      <c r="H11" s="139">
        <v>5442</v>
      </c>
      <c r="I11" s="139">
        <v>4701</v>
      </c>
      <c r="J11" s="141">
        <f>I11/H11*100</f>
        <v>86.38368246968027</v>
      </c>
      <c r="K11" s="169">
        <v>5442</v>
      </c>
      <c r="L11" s="169">
        <v>4723</v>
      </c>
      <c r="M11" s="476">
        <f>L11/K11*100</f>
        <v>86.78794560823226</v>
      </c>
    </row>
    <row r="12" spans="1:13" ht="15">
      <c r="A12" s="138">
        <f>6!A12</f>
        <v>2</v>
      </c>
      <c r="B12" s="138" t="str">
        <f>6!B12</f>
        <v>Lamandau</v>
      </c>
      <c r="C12" s="139">
        <v>1830</v>
      </c>
      <c r="D12" s="139">
        <v>1379</v>
      </c>
      <c r="E12" s="139">
        <f aca="true" t="shared" si="0" ref="E12:E26">D12/C12*100</f>
        <v>75.3551912568306</v>
      </c>
      <c r="F12" s="139">
        <v>1187</v>
      </c>
      <c r="G12" s="141">
        <f aca="true" t="shared" si="1" ref="G12:G26">F12/C12*100</f>
        <v>64.86338797814207</v>
      </c>
      <c r="H12" s="139">
        <v>1539</v>
      </c>
      <c r="I12" s="139">
        <v>1101</v>
      </c>
      <c r="J12" s="141">
        <f>I12/H12*100</f>
        <v>71.53996101364523</v>
      </c>
      <c r="K12" s="63">
        <v>1533</v>
      </c>
      <c r="L12" s="63">
        <v>952</v>
      </c>
      <c r="M12" s="138">
        <f aca="true" t="shared" si="2" ref="M12:M26">L12/K12*100</f>
        <v>62.10045662100456</v>
      </c>
    </row>
    <row r="13" spans="1:13" ht="15">
      <c r="A13" s="138">
        <f>6!A13</f>
        <v>3</v>
      </c>
      <c r="B13" s="138" t="str">
        <f>6!B13</f>
        <v>Sukamara</v>
      </c>
      <c r="C13" s="139">
        <v>1155</v>
      </c>
      <c r="D13" s="139">
        <v>963</v>
      </c>
      <c r="E13" s="139">
        <f t="shared" si="0"/>
        <v>83.37662337662337</v>
      </c>
      <c r="F13" s="139">
        <v>853</v>
      </c>
      <c r="G13" s="141">
        <f t="shared" si="1"/>
        <v>73.85281385281385</v>
      </c>
      <c r="H13" s="139">
        <v>1102</v>
      </c>
      <c r="I13" s="139">
        <v>732</v>
      </c>
      <c r="J13" s="141">
        <f aca="true" t="shared" si="3" ref="J13:J26">I13/H13*100</f>
        <v>66.42468239564428</v>
      </c>
      <c r="K13" s="63">
        <v>1102</v>
      </c>
      <c r="L13" s="63">
        <v>788</v>
      </c>
      <c r="M13" s="460">
        <f t="shared" si="2"/>
        <v>71.50635208711434</v>
      </c>
    </row>
    <row r="14" spans="1:13" ht="15">
      <c r="A14" s="138">
        <f>6!A14</f>
        <v>4</v>
      </c>
      <c r="B14" s="138" t="str">
        <f>6!B14</f>
        <v>Kotawaringin Timur</v>
      </c>
      <c r="C14" s="139">
        <v>8753</v>
      </c>
      <c r="D14" s="139">
        <v>8121</v>
      </c>
      <c r="E14" s="139">
        <f t="shared" si="0"/>
        <v>92.7796184165429</v>
      </c>
      <c r="F14" s="139">
        <v>7555</v>
      </c>
      <c r="G14" s="141">
        <f t="shared" si="1"/>
        <v>86.31326402376328</v>
      </c>
      <c r="H14" s="139">
        <v>8378</v>
      </c>
      <c r="I14" s="139">
        <v>6350</v>
      </c>
      <c r="J14" s="141">
        <f t="shared" si="3"/>
        <v>75.7937455239914</v>
      </c>
      <c r="K14" s="63">
        <v>8062</v>
      </c>
      <c r="L14" s="63">
        <v>6727</v>
      </c>
      <c r="M14" s="460">
        <f t="shared" si="2"/>
        <v>83.4408335400645</v>
      </c>
    </row>
    <row r="15" spans="1:13" ht="15">
      <c r="A15" s="138">
        <f>6!A15</f>
        <v>5</v>
      </c>
      <c r="B15" s="138" t="str">
        <f>6!B15</f>
        <v>Seruyan</v>
      </c>
      <c r="C15" s="139">
        <v>4053</v>
      </c>
      <c r="D15" s="139">
        <v>3683</v>
      </c>
      <c r="E15" s="139">
        <f t="shared" si="0"/>
        <v>90.87095978287688</v>
      </c>
      <c r="F15" s="139">
        <v>3161</v>
      </c>
      <c r="G15" s="141">
        <f t="shared" si="1"/>
        <v>77.9916111522329</v>
      </c>
      <c r="H15" s="139">
        <v>3870</v>
      </c>
      <c r="I15" s="139">
        <v>2753</v>
      </c>
      <c r="J15" s="141">
        <f t="shared" si="3"/>
        <v>71.13695090439276</v>
      </c>
      <c r="K15" s="63">
        <v>3870</v>
      </c>
      <c r="L15" s="63">
        <v>3212</v>
      </c>
      <c r="M15" s="460">
        <f t="shared" si="2"/>
        <v>82.99741602067184</v>
      </c>
    </row>
    <row r="16" spans="1:13" ht="15">
      <c r="A16" s="138">
        <f>6!A16</f>
        <v>6</v>
      </c>
      <c r="B16" s="138" t="str">
        <f>6!B16</f>
        <v>Katingan</v>
      </c>
      <c r="C16" s="139">
        <v>3776</v>
      </c>
      <c r="D16" s="139">
        <v>3717</v>
      </c>
      <c r="E16" s="139">
        <f t="shared" si="0"/>
        <v>98.4375</v>
      </c>
      <c r="F16" s="139">
        <v>3005</v>
      </c>
      <c r="G16" s="141">
        <f t="shared" si="1"/>
        <v>79.58156779661016</v>
      </c>
      <c r="H16" s="139">
        <v>3603</v>
      </c>
      <c r="I16" s="139">
        <v>2652</v>
      </c>
      <c r="J16" s="141">
        <f t="shared" si="3"/>
        <v>73.60532889258951</v>
      </c>
      <c r="K16" s="63">
        <v>3603</v>
      </c>
      <c r="L16" s="63">
        <v>2928</v>
      </c>
      <c r="M16" s="460">
        <f t="shared" si="2"/>
        <v>81.26561199000832</v>
      </c>
    </row>
    <row r="17" spans="1:13" ht="15">
      <c r="A17" s="138">
        <f>6!A17</f>
        <v>7</v>
      </c>
      <c r="B17" s="138" t="str">
        <f>6!B17</f>
        <v>Kapuas</v>
      </c>
      <c r="C17" s="139">
        <v>10981</v>
      </c>
      <c r="D17" s="139">
        <v>9521</v>
      </c>
      <c r="E17" s="139">
        <f t="shared" si="0"/>
        <v>86.70430744012386</v>
      </c>
      <c r="F17" s="139">
        <v>7734</v>
      </c>
      <c r="G17" s="141">
        <f t="shared" si="1"/>
        <v>70.43074401238502</v>
      </c>
      <c r="H17" s="139">
        <v>10481</v>
      </c>
      <c r="I17" s="139">
        <v>7585</v>
      </c>
      <c r="J17" s="141">
        <f t="shared" si="3"/>
        <v>72.3690487548898</v>
      </c>
      <c r="K17" s="63">
        <v>10481</v>
      </c>
      <c r="L17" s="63">
        <v>7712</v>
      </c>
      <c r="M17" s="460">
        <f t="shared" si="2"/>
        <v>73.58076519416086</v>
      </c>
    </row>
    <row r="18" spans="1:13" ht="15">
      <c r="A18" s="138">
        <f>6!A18</f>
        <v>8</v>
      </c>
      <c r="B18" s="138" t="str">
        <f>6!B18</f>
        <v>Pulang Pisau</v>
      </c>
      <c r="C18" s="139">
        <v>3325</v>
      </c>
      <c r="D18" s="139">
        <v>3283</v>
      </c>
      <c r="E18" s="139">
        <f t="shared" si="0"/>
        <v>98.73684210526315</v>
      </c>
      <c r="F18" s="139">
        <v>2978</v>
      </c>
      <c r="G18" s="141">
        <f t="shared" si="1"/>
        <v>89.56390977443608</v>
      </c>
      <c r="H18" s="139">
        <v>3160</v>
      </c>
      <c r="I18" s="139">
        <v>2841</v>
      </c>
      <c r="J18" s="141">
        <f t="shared" si="3"/>
        <v>89.90506329113924</v>
      </c>
      <c r="K18" s="63">
        <v>3160</v>
      </c>
      <c r="L18" s="63">
        <v>2907</v>
      </c>
      <c r="M18" s="460">
        <f t="shared" si="2"/>
        <v>91.99367088607595</v>
      </c>
    </row>
    <row r="19" spans="1:13" ht="15">
      <c r="A19" s="138">
        <f>6!A19</f>
        <v>9</v>
      </c>
      <c r="B19" s="138" t="str">
        <f>6!B19</f>
        <v>Gunung Mas</v>
      </c>
      <c r="C19" s="139">
        <v>2422</v>
      </c>
      <c r="D19" s="139">
        <v>2264</v>
      </c>
      <c r="E19" s="139">
        <f t="shared" si="0"/>
        <v>93.476465730801</v>
      </c>
      <c r="F19" s="139">
        <v>2132</v>
      </c>
      <c r="G19" s="141">
        <f t="shared" si="1"/>
        <v>88.02642444260943</v>
      </c>
      <c r="H19" s="139">
        <v>2315</v>
      </c>
      <c r="I19" s="139">
        <v>1894</v>
      </c>
      <c r="J19" s="141">
        <f t="shared" si="3"/>
        <v>81.81425485961124</v>
      </c>
      <c r="K19" s="63">
        <v>2315</v>
      </c>
      <c r="L19" s="63">
        <v>1894</v>
      </c>
      <c r="M19" s="460">
        <f t="shared" si="2"/>
        <v>81.81425485961124</v>
      </c>
    </row>
    <row r="20" spans="1:13" ht="15">
      <c r="A20" s="138">
        <f>6!A20</f>
        <v>10</v>
      </c>
      <c r="B20" s="138" t="str">
        <f>6!B20</f>
        <v>Barito Selatan</v>
      </c>
      <c r="C20" s="139">
        <v>3091</v>
      </c>
      <c r="D20" s="139">
        <v>2741</v>
      </c>
      <c r="E20" s="139">
        <f t="shared" si="0"/>
        <v>88.67680362342284</v>
      </c>
      <c r="F20" s="139">
        <v>2611</v>
      </c>
      <c r="G20" s="141">
        <f t="shared" si="1"/>
        <v>84.4710449692656</v>
      </c>
      <c r="H20" s="139">
        <v>2967</v>
      </c>
      <c r="I20" s="139">
        <v>2175</v>
      </c>
      <c r="J20" s="141">
        <f t="shared" si="3"/>
        <v>73.30637007077856</v>
      </c>
      <c r="K20" s="63">
        <v>2967</v>
      </c>
      <c r="L20" s="63">
        <v>2175</v>
      </c>
      <c r="M20" s="460">
        <f t="shared" si="2"/>
        <v>73.30637007077856</v>
      </c>
    </row>
    <row r="21" spans="1:13" ht="15">
      <c r="A21" s="138">
        <f>6!A21</f>
        <v>11</v>
      </c>
      <c r="B21" s="138" t="str">
        <f>6!B21</f>
        <v>Barito Timur</v>
      </c>
      <c r="C21" s="139">
        <v>2369</v>
      </c>
      <c r="D21" s="139">
        <v>2052</v>
      </c>
      <c r="E21" s="139">
        <f t="shared" si="0"/>
        <v>86.61882650907556</v>
      </c>
      <c r="F21" s="139">
        <v>1770</v>
      </c>
      <c r="G21" s="141">
        <f t="shared" si="1"/>
        <v>74.7150696496412</v>
      </c>
      <c r="H21" s="139">
        <v>2189</v>
      </c>
      <c r="I21" s="139">
        <v>2189</v>
      </c>
      <c r="J21" s="141">
        <f t="shared" si="3"/>
        <v>100</v>
      </c>
      <c r="K21" s="63">
        <v>1691</v>
      </c>
      <c r="L21" s="63">
        <v>1691</v>
      </c>
      <c r="M21" s="138">
        <f t="shared" si="2"/>
        <v>100</v>
      </c>
    </row>
    <row r="22" spans="1:13" ht="15">
      <c r="A22" s="138">
        <f>6!A22</f>
        <v>12</v>
      </c>
      <c r="B22" s="138" t="str">
        <f>6!B22</f>
        <v>Barito Utara</v>
      </c>
      <c r="C22" s="139">
        <v>3131</v>
      </c>
      <c r="D22" s="139">
        <v>3115</v>
      </c>
      <c r="E22" s="139">
        <f t="shared" si="0"/>
        <v>99.48898115618013</v>
      </c>
      <c r="F22" s="139">
        <v>2663</v>
      </c>
      <c r="G22" s="141">
        <f t="shared" si="1"/>
        <v>85.05269881826892</v>
      </c>
      <c r="H22" s="139">
        <v>2578</v>
      </c>
      <c r="I22" s="139">
        <v>2516</v>
      </c>
      <c r="J22" s="141">
        <f t="shared" si="3"/>
        <v>97.59503491078355</v>
      </c>
      <c r="K22" s="63">
        <v>2982</v>
      </c>
      <c r="L22" s="63">
        <v>2516</v>
      </c>
      <c r="M22" s="460">
        <f t="shared" si="2"/>
        <v>84.37290409121395</v>
      </c>
    </row>
    <row r="23" spans="1:13" ht="15">
      <c r="A23" s="138">
        <f>6!A23</f>
        <v>13</v>
      </c>
      <c r="B23" s="138" t="str">
        <f>6!B23</f>
        <v>Murung Raya</v>
      </c>
      <c r="C23" s="139">
        <v>2668</v>
      </c>
      <c r="D23" s="139">
        <v>2011</v>
      </c>
      <c r="E23" s="139">
        <f t="shared" si="0"/>
        <v>75.37481259370314</v>
      </c>
      <c r="F23" s="139">
        <v>1818</v>
      </c>
      <c r="G23" s="141">
        <f t="shared" si="1"/>
        <v>68.14092953523239</v>
      </c>
      <c r="H23" s="139">
        <v>2556</v>
      </c>
      <c r="I23" s="139">
        <v>1608</v>
      </c>
      <c r="J23" s="141">
        <f t="shared" si="3"/>
        <v>62.91079812206573</v>
      </c>
      <c r="K23" s="63">
        <v>2537</v>
      </c>
      <c r="L23" s="63">
        <v>1643</v>
      </c>
      <c r="M23" s="460">
        <f t="shared" si="2"/>
        <v>64.7615293653922</v>
      </c>
    </row>
    <row r="24" spans="1:13" ht="15">
      <c r="A24" s="138">
        <f>6!A24</f>
        <v>14</v>
      </c>
      <c r="B24" s="138" t="str">
        <f>6!B24</f>
        <v>Palangka Raya</v>
      </c>
      <c r="C24" s="139">
        <v>5151</v>
      </c>
      <c r="D24" s="139">
        <v>5450</v>
      </c>
      <c r="E24" s="139">
        <f t="shared" si="0"/>
        <v>105.80469811687053</v>
      </c>
      <c r="F24" s="139">
        <v>4944</v>
      </c>
      <c r="G24" s="141">
        <f t="shared" si="1"/>
        <v>95.98136284216658</v>
      </c>
      <c r="H24" s="139">
        <v>4918</v>
      </c>
      <c r="I24" s="139">
        <v>4494</v>
      </c>
      <c r="J24" s="141">
        <f t="shared" si="3"/>
        <v>91.37860919072793</v>
      </c>
      <c r="K24" s="63">
        <v>4918</v>
      </c>
      <c r="L24" s="63">
        <v>4675</v>
      </c>
      <c r="M24" s="460">
        <f t="shared" si="2"/>
        <v>95.0589670597804</v>
      </c>
    </row>
    <row r="25" spans="1:13" ht="15">
      <c r="A25" s="158"/>
      <c r="B25" s="183"/>
      <c r="C25" s="139"/>
      <c r="D25" s="139"/>
      <c r="E25" s="139"/>
      <c r="F25" s="139"/>
      <c r="G25" s="141"/>
      <c r="H25" s="139"/>
      <c r="I25" s="139"/>
      <c r="J25" s="141"/>
      <c r="K25" s="450"/>
      <c r="L25" s="450"/>
      <c r="M25" s="158"/>
    </row>
    <row r="26" spans="1:13" ht="19.5" customHeight="1" thickBot="1">
      <c r="A26" s="165" t="s">
        <v>859</v>
      </c>
      <c r="B26" s="175"/>
      <c r="C26" s="167">
        <f>SUM(C11:C25)</f>
        <v>58408</v>
      </c>
      <c r="D26" s="167">
        <f>SUM(D11:D25)</f>
        <v>53603</v>
      </c>
      <c r="E26" s="494">
        <f t="shared" si="0"/>
        <v>91.77338720723188</v>
      </c>
      <c r="F26" s="167">
        <f>SUM(F11:F25)</f>
        <v>47108</v>
      </c>
      <c r="G26" s="160">
        <f t="shared" si="1"/>
        <v>80.65333515956719</v>
      </c>
      <c r="H26" s="167">
        <f>SUM(H11:H25)</f>
        <v>55098</v>
      </c>
      <c r="I26" s="167">
        <f>SUM(I11:I25)</f>
        <v>43591</v>
      </c>
      <c r="J26" s="160">
        <f t="shared" si="3"/>
        <v>79.11539438818106</v>
      </c>
      <c r="K26" s="72">
        <f>SUM(K11:K25)</f>
        <v>54663</v>
      </c>
      <c r="L26" s="72">
        <f>SUM(L11:L25)</f>
        <v>44543</v>
      </c>
      <c r="M26" s="243">
        <f t="shared" si="2"/>
        <v>81.4865631231363</v>
      </c>
    </row>
    <row r="27" spans="1:10" ht="1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ht="15">
      <c r="A28" s="525" t="s">
        <v>243</v>
      </c>
    </row>
    <row r="29" ht="15">
      <c r="L29" s="511"/>
    </row>
  </sheetData>
  <mergeCells count="8">
    <mergeCell ref="K7:M8"/>
    <mergeCell ref="A3:M3"/>
    <mergeCell ref="H7:J8"/>
    <mergeCell ref="A7:A9"/>
    <mergeCell ref="B7:B9"/>
    <mergeCell ref="C7:G8"/>
    <mergeCell ref="A4:M4"/>
    <mergeCell ref="A5:M5"/>
  </mergeCells>
  <printOptions horizontalCentered="1"/>
  <pageMargins left="1.6929133858267718" right="0.9055118110236221" top="1.141732283464567" bottom="0.9055118110236221" header="0" footer="1.1811023622047245"/>
  <pageSetup fitToHeight="1" fitToWidth="1" horizontalDpi="300" verticalDpi="300" orientation="landscape" paperSize="9" scale="72" r:id="rId1"/>
  <headerFooter alignWithMargins="0">
    <oddFooter>&amp;C74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31"/>
  <sheetViews>
    <sheetView view="pageBreakPreview" zoomScale="60" zoomScaleNormal="75" workbookViewId="0" topLeftCell="A1">
      <selection activeCell="B30" sqref="B30"/>
    </sheetView>
  </sheetViews>
  <sheetFormatPr defaultColWidth="9.140625" defaultRowHeight="12.75"/>
  <cols>
    <col min="1" max="1" width="5.7109375" style="14" customWidth="1"/>
    <col min="2" max="2" width="25.140625" style="14" customWidth="1"/>
    <col min="3" max="11" width="15.00390625" style="14" customWidth="1"/>
    <col min="12" max="16384" width="9.140625" style="14" customWidth="1"/>
  </cols>
  <sheetData>
    <row r="1" ht="15">
      <c r="A1" s="13" t="s">
        <v>290</v>
      </c>
    </row>
    <row r="3" spans="1:11" ht="15">
      <c r="A3" s="15" t="s">
        <v>444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">
      <c r="A4" s="641" t="str">
        <f>1!A5</f>
        <v>PROVINSI KALIMANTAN TENGAH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</row>
    <row r="5" spans="1:11" ht="15">
      <c r="A5" s="641" t="str">
        <f>1!A6</f>
        <v>TAHUN 2009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</row>
    <row r="6" spans="1:11" ht="15.75" thickBot="1">
      <c r="A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2.75" customHeight="1">
      <c r="A7" s="634" t="s">
        <v>2</v>
      </c>
      <c r="B7" s="637" t="s">
        <v>844</v>
      </c>
      <c r="C7" s="568" t="s">
        <v>438</v>
      </c>
      <c r="D7" s="569"/>
      <c r="E7" s="570"/>
      <c r="F7" s="655" t="s">
        <v>352</v>
      </c>
      <c r="G7" s="656"/>
      <c r="H7" s="657"/>
      <c r="I7" s="655" t="s">
        <v>445</v>
      </c>
      <c r="J7" s="656"/>
      <c r="K7" s="657"/>
    </row>
    <row r="8" spans="1:11" ht="15">
      <c r="A8" s="635"/>
      <c r="B8" s="638"/>
      <c r="C8" s="552"/>
      <c r="D8" s="553"/>
      <c r="E8" s="554"/>
      <c r="F8" s="658"/>
      <c r="G8" s="659"/>
      <c r="H8" s="660"/>
      <c r="I8" s="658"/>
      <c r="J8" s="659"/>
      <c r="K8" s="660"/>
    </row>
    <row r="9" spans="1:11" ht="15">
      <c r="A9" s="636"/>
      <c r="B9" s="639"/>
      <c r="C9" s="59" t="s">
        <v>21</v>
      </c>
      <c r="D9" s="162" t="s">
        <v>504</v>
      </c>
      <c r="E9" s="136" t="s">
        <v>27</v>
      </c>
      <c r="F9" s="27" t="s">
        <v>21</v>
      </c>
      <c r="G9" s="105" t="s">
        <v>42</v>
      </c>
      <c r="H9" s="59" t="s">
        <v>27</v>
      </c>
      <c r="I9" s="27" t="s">
        <v>21</v>
      </c>
      <c r="J9" s="105" t="s">
        <v>42</v>
      </c>
      <c r="K9" s="59" t="s">
        <v>27</v>
      </c>
    </row>
    <row r="10" spans="1:11" ht="15">
      <c r="A10" s="11">
        <v>1</v>
      </c>
      <c r="B10" s="11">
        <v>2</v>
      </c>
      <c r="C10" s="11">
        <v>4</v>
      </c>
      <c r="D10" s="11">
        <v>5</v>
      </c>
      <c r="E10" s="11">
        <v>6</v>
      </c>
      <c r="F10" s="11">
        <v>7</v>
      </c>
      <c r="G10" s="11">
        <v>8</v>
      </c>
      <c r="H10" s="11">
        <v>9</v>
      </c>
      <c r="I10" s="11">
        <v>10</v>
      </c>
      <c r="J10" s="11">
        <v>11</v>
      </c>
      <c r="K10" s="11">
        <v>12</v>
      </c>
    </row>
    <row r="11" spans="1:12" ht="15.75">
      <c r="A11" s="142">
        <f>6!A11</f>
        <v>1</v>
      </c>
      <c r="B11" s="30" t="str">
        <f>6!B11</f>
        <v>Kotawaringin Barat</v>
      </c>
      <c r="C11" s="139">
        <v>29758</v>
      </c>
      <c r="D11" s="139">
        <v>14177</v>
      </c>
      <c r="E11" s="141">
        <f>D11/C11*100</f>
        <v>47.640970495328986</v>
      </c>
      <c r="F11" s="139">
        <v>5301</v>
      </c>
      <c r="G11" s="139">
        <v>2870</v>
      </c>
      <c r="H11" s="181">
        <f>G11/F11*100</f>
        <v>54.14072816449726</v>
      </c>
      <c r="I11" s="139">
        <v>5669</v>
      </c>
      <c r="J11" s="139">
        <v>1042</v>
      </c>
      <c r="K11" s="181">
        <f>J11/I11*100</f>
        <v>18.380666784265305</v>
      </c>
      <c r="L11" s="193"/>
    </row>
    <row r="12" spans="1:11" ht="15">
      <c r="A12" s="138">
        <f>6!A12</f>
        <v>2</v>
      </c>
      <c r="B12" s="30" t="str">
        <f>6!B12</f>
        <v>Lamandau</v>
      </c>
      <c r="C12" s="139">
        <v>6134</v>
      </c>
      <c r="D12" s="139">
        <v>122</v>
      </c>
      <c r="E12" s="141">
        <f aca="true" t="shared" si="0" ref="E12:E24">D12/C12*100</f>
        <v>1.9889142484512554</v>
      </c>
      <c r="F12" s="139">
        <f>0</f>
        <v>0</v>
      </c>
      <c r="G12" s="139">
        <f>0</f>
        <v>0</v>
      </c>
      <c r="H12" s="139">
        <v>0</v>
      </c>
      <c r="I12" s="139">
        <f>0</f>
        <v>0</v>
      </c>
      <c r="J12" s="139">
        <f>0</f>
        <v>0</v>
      </c>
      <c r="K12" s="139">
        <v>0</v>
      </c>
    </row>
    <row r="13" spans="1:11" ht="15">
      <c r="A13" s="138">
        <f>6!A13</f>
        <v>3</v>
      </c>
      <c r="B13" s="30" t="str">
        <f>6!B13</f>
        <v>Sukamara</v>
      </c>
      <c r="C13" s="139">
        <v>3529</v>
      </c>
      <c r="D13" s="139">
        <v>1015</v>
      </c>
      <c r="E13" s="141">
        <f t="shared" si="0"/>
        <v>28.761688863700762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</row>
    <row r="14" spans="1:11" ht="15">
      <c r="A14" s="138">
        <f>6!A14</f>
        <v>4</v>
      </c>
      <c r="B14" s="30" t="str">
        <f>6!B14</f>
        <v>Kotawaringin Timur</v>
      </c>
      <c r="C14" s="139">
        <v>25913</v>
      </c>
      <c r="D14" s="139">
        <v>14278</v>
      </c>
      <c r="E14" s="141">
        <f t="shared" si="0"/>
        <v>55.09975687878671</v>
      </c>
      <c r="F14" s="139">
        <v>10913</v>
      </c>
      <c r="G14" s="139">
        <v>8380</v>
      </c>
      <c r="H14" s="141">
        <f aca="true" t="shared" si="1" ref="H14:H26">G14/F14*100</f>
        <v>76.78915055438468</v>
      </c>
      <c r="I14" s="139">
        <v>0</v>
      </c>
      <c r="J14" s="139">
        <v>8092</v>
      </c>
      <c r="K14" s="139">
        <v>0</v>
      </c>
    </row>
    <row r="15" spans="1:11" ht="15">
      <c r="A15" s="138">
        <f>6!A15</f>
        <v>5</v>
      </c>
      <c r="B15" s="30" t="str">
        <f>6!B15</f>
        <v>Seruyan</v>
      </c>
      <c r="C15" s="139">
        <v>15369</v>
      </c>
      <c r="D15" s="139">
        <v>0</v>
      </c>
      <c r="E15" s="141">
        <f t="shared" si="0"/>
        <v>0</v>
      </c>
      <c r="F15" s="139">
        <v>17911</v>
      </c>
      <c r="G15" s="139">
        <v>0</v>
      </c>
      <c r="H15" s="141">
        <f t="shared" si="1"/>
        <v>0</v>
      </c>
      <c r="I15" s="139">
        <v>6108</v>
      </c>
      <c r="J15" s="139">
        <v>0</v>
      </c>
      <c r="K15" s="141">
        <f aca="true" t="shared" si="2" ref="K15:K26">J15/I15*100</f>
        <v>0</v>
      </c>
    </row>
    <row r="16" spans="1:11" ht="15">
      <c r="A16" s="138">
        <f>6!A16</f>
        <v>6</v>
      </c>
      <c r="B16" s="30" t="str">
        <f>6!B16</f>
        <v>Katingan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</row>
    <row r="17" spans="1:11" ht="15">
      <c r="A17" s="138">
        <f>6!A17</f>
        <v>7</v>
      </c>
      <c r="B17" s="30" t="str">
        <f>6!B17</f>
        <v>Kapuas</v>
      </c>
      <c r="C17" s="139">
        <v>35093</v>
      </c>
      <c r="D17" s="139">
        <v>23822</v>
      </c>
      <c r="E17" s="141">
        <f t="shared" si="0"/>
        <v>67.88248368620523</v>
      </c>
      <c r="F17" s="139" t="s">
        <v>694</v>
      </c>
      <c r="G17" s="139" t="s">
        <v>694</v>
      </c>
      <c r="H17" s="139" t="s">
        <v>694</v>
      </c>
      <c r="I17" s="139" t="s">
        <v>694</v>
      </c>
      <c r="J17" s="139" t="s">
        <v>694</v>
      </c>
      <c r="K17" s="139" t="s">
        <v>694</v>
      </c>
    </row>
    <row r="18" spans="1:11" ht="15">
      <c r="A18" s="138">
        <f>6!A18</f>
        <v>8</v>
      </c>
      <c r="B18" s="30" t="str">
        <f>6!B18</f>
        <v>Pulang Pisau</v>
      </c>
      <c r="C18" s="139">
        <v>0</v>
      </c>
      <c r="D18" s="139">
        <v>0</v>
      </c>
      <c r="E18" s="139">
        <v>0</v>
      </c>
      <c r="F18" s="139">
        <v>15465</v>
      </c>
      <c r="G18" s="139">
        <v>0</v>
      </c>
      <c r="H18" s="141">
        <f t="shared" si="1"/>
        <v>0</v>
      </c>
      <c r="I18" s="139">
        <v>4783</v>
      </c>
      <c r="J18" s="139">
        <v>0</v>
      </c>
      <c r="K18" s="141">
        <f t="shared" si="2"/>
        <v>0</v>
      </c>
    </row>
    <row r="19" spans="1:11" ht="15">
      <c r="A19" s="138">
        <f>6!A19</f>
        <v>9</v>
      </c>
      <c r="B19" s="30" t="str">
        <f>6!B19</f>
        <v>Gunung Mas</v>
      </c>
      <c r="C19" s="139">
        <v>8917</v>
      </c>
      <c r="D19" s="139">
        <v>0</v>
      </c>
      <c r="E19" s="141">
        <f t="shared" si="0"/>
        <v>0</v>
      </c>
      <c r="F19" s="139">
        <v>15489</v>
      </c>
      <c r="G19" s="139">
        <v>0</v>
      </c>
      <c r="H19" s="141">
        <f t="shared" si="1"/>
        <v>0</v>
      </c>
      <c r="I19" s="139">
        <v>6951</v>
      </c>
      <c r="J19" s="139">
        <v>0</v>
      </c>
      <c r="K19" s="141">
        <f t="shared" si="2"/>
        <v>0</v>
      </c>
    </row>
    <row r="20" spans="1:11" ht="15">
      <c r="A20" s="138">
        <f>6!A20</f>
        <v>10</v>
      </c>
      <c r="B20" s="30" t="str">
        <f>6!B20</f>
        <v>Barito Selatan</v>
      </c>
      <c r="C20" s="139">
        <v>3088</v>
      </c>
      <c r="D20" s="139">
        <v>3088</v>
      </c>
      <c r="E20" s="141">
        <f t="shared" si="0"/>
        <v>100</v>
      </c>
      <c r="F20" s="139">
        <v>18534</v>
      </c>
      <c r="G20" s="139">
        <v>18534</v>
      </c>
      <c r="H20" s="141">
        <f t="shared" si="1"/>
        <v>100</v>
      </c>
      <c r="I20" s="139">
        <v>9921</v>
      </c>
      <c r="J20" s="139">
        <v>9921</v>
      </c>
      <c r="K20" s="141">
        <f t="shared" si="2"/>
        <v>100</v>
      </c>
    </row>
    <row r="21" spans="1:11" ht="15">
      <c r="A21" s="138">
        <f>6!A21</f>
        <v>11</v>
      </c>
      <c r="B21" s="30" t="str">
        <f>6!B21</f>
        <v>Barito Timur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</row>
    <row r="22" spans="1:11" ht="15">
      <c r="A22" s="138">
        <f>6!A22</f>
        <v>12</v>
      </c>
      <c r="B22" s="30" t="str">
        <f>6!B22</f>
        <v>Barito Utara</v>
      </c>
      <c r="C22" s="139">
        <v>6331</v>
      </c>
      <c r="D22" s="139">
        <v>1616</v>
      </c>
      <c r="E22" s="141">
        <f t="shared" si="0"/>
        <v>25.525193492339284</v>
      </c>
      <c r="F22" s="139">
        <v>16340</v>
      </c>
      <c r="G22" s="139">
        <v>1835</v>
      </c>
      <c r="H22" s="141">
        <f t="shared" si="1"/>
        <v>11.230110159118727</v>
      </c>
      <c r="I22" s="139">
        <v>7558</v>
      </c>
      <c r="J22" s="139">
        <v>157</v>
      </c>
      <c r="K22" s="141">
        <f t="shared" si="2"/>
        <v>2.077269118814501</v>
      </c>
    </row>
    <row r="23" spans="1:11" ht="15">
      <c r="A23" s="138">
        <f>6!A23</f>
        <v>13</v>
      </c>
      <c r="B23" s="30" t="str">
        <f>6!B23</f>
        <v>Murung Raya</v>
      </c>
      <c r="C23" s="139">
        <v>9744</v>
      </c>
      <c r="D23" s="139">
        <v>4783</v>
      </c>
      <c r="E23" s="141">
        <f t="shared" si="0"/>
        <v>49.08661740558292</v>
      </c>
      <c r="F23" s="139">
        <v>17180</v>
      </c>
      <c r="G23" s="139">
        <v>260</v>
      </c>
      <c r="H23" s="141">
        <f t="shared" si="1"/>
        <v>1.5133876600698486</v>
      </c>
      <c r="I23" s="139">
        <v>6943</v>
      </c>
      <c r="J23" s="139">
        <v>266</v>
      </c>
      <c r="K23" s="141">
        <f t="shared" si="2"/>
        <v>3.8311968889529022</v>
      </c>
    </row>
    <row r="24" spans="1:11" ht="15">
      <c r="A24" s="138">
        <f>6!A24</f>
        <v>14</v>
      </c>
      <c r="B24" s="30" t="str">
        <f>6!B24</f>
        <v>Palangka Raya</v>
      </c>
      <c r="C24" s="139">
        <v>18958</v>
      </c>
      <c r="D24" s="139">
        <v>7470</v>
      </c>
      <c r="E24" s="141">
        <f t="shared" si="0"/>
        <v>39.40289060027429</v>
      </c>
      <c r="F24" s="139">
        <v>4890</v>
      </c>
      <c r="G24" s="139">
        <v>4476</v>
      </c>
      <c r="H24" s="141">
        <f t="shared" si="1"/>
        <v>91.53374233128835</v>
      </c>
      <c r="I24" s="139">
        <v>6969</v>
      </c>
      <c r="J24" s="139">
        <v>6317</v>
      </c>
      <c r="K24" s="141">
        <f t="shared" si="2"/>
        <v>90.6442818194863</v>
      </c>
    </row>
    <row r="25" spans="1:11" ht="15">
      <c r="A25" s="35"/>
      <c r="B25" s="33"/>
      <c r="C25" s="139"/>
      <c r="D25" s="139"/>
      <c r="E25" s="141"/>
      <c r="F25" s="139"/>
      <c r="G25" s="139"/>
      <c r="H25" s="143"/>
      <c r="I25" s="139"/>
      <c r="J25" s="139"/>
      <c r="K25" s="141"/>
    </row>
    <row r="26" spans="1:11" ht="19.5" customHeight="1" thickBot="1">
      <c r="A26" s="165" t="s">
        <v>859</v>
      </c>
      <c r="B26" s="70"/>
      <c r="C26" s="167">
        <f>SUM(C11:C25)</f>
        <v>162834</v>
      </c>
      <c r="D26" s="167">
        <f>SUM(D11:D25)</f>
        <v>70371</v>
      </c>
      <c r="E26" s="160">
        <f>D26/C26*100</f>
        <v>43.216404436419914</v>
      </c>
      <c r="F26" s="167">
        <f>SUM(F11:F25)</f>
        <v>122023</v>
      </c>
      <c r="G26" s="167">
        <f>SUM(G11:G25)</f>
        <v>36355</v>
      </c>
      <c r="H26" s="184">
        <f t="shared" si="1"/>
        <v>29.793563508518883</v>
      </c>
      <c r="I26" s="167">
        <f>SUM(I11:I25)</f>
        <v>54902</v>
      </c>
      <c r="J26" s="167">
        <f>SUM(J11:J25)</f>
        <v>25795</v>
      </c>
      <c r="K26" s="160">
        <f t="shared" si="2"/>
        <v>46.98371644020254</v>
      </c>
    </row>
    <row r="27" spans="1:11" ht="15">
      <c r="A27" s="9"/>
      <c r="B27" s="9"/>
      <c r="C27" s="18"/>
      <c r="D27" s="18"/>
      <c r="E27" s="18"/>
      <c r="F27" s="18"/>
      <c r="G27" s="18"/>
      <c r="H27" s="18"/>
      <c r="I27" s="18"/>
      <c r="J27" s="18"/>
      <c r="K27" s="18"/>
    </row>
    <row r="28" ht="15">
      <c r="A28" s="525" t="s">
        <v>243</v>
      </c>
    </row>
    <row r="29" spans="1:11" ht="15">
      <c r="A29" s="14" t="s">
        <v>966</v>
      </c>
      <c r="B29" s="390" t="s">
        <v>965</v>
      </c>
      <c r="K29" s="511"/>
    </row>
    <row r="31" ht="15.75">
      <c r="B31" s="193"/>
    </row>
  </sheetData>
  <mergeCells count="7">
    <mergeCell ref="A4:K4"/>
    <mergeCell ref="A5:K5"/>
    <mergeCell ref="F7:H8"/>
    <mergeCell ref="I7:K8"/>
    <mergeCell ref="A7:A9"/>
    <mergeCell ref="B7:B9"/>
    <mergeCell ref="C7:E8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71" r:id="rId1"/>
  <headerFooter alignWithMargins="0">
    <oddFooter>&amp;C75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1"/>
  <sheetViews>
    <sheetView zoomScale="75" zoomScaleNormal="75" workbookViewId="0" topLeftCell="A2">
      <selection activeCell="G31" sqref="G31"/>
    </sheetView>
  </sheetViews>
  <sheetFormatPr defaultColWidth="9.140625" defaultRowHeight="12.75"/>
  <cols>
    <col min="1" max="1" width="5.7109375" style="14" customWidth="1"/>
    <col min="2" max="2" width="21.8515625" style="14" customWidth="1"/>
    <col min="3" max="3" width="14.00390625" style="14" customWidth="1"/>
    <col min="4" max="4" width="15.28125" style="14" customWidth="1"/>
    <col min="5" max="7" width="15.140625" style="14" customWidth="1"/>
    <col min="8" max="8" width="16.57421875" style="14" customWidth="1"/>
    <col min="9" max="9" width="15.28125" style="14" customWidth="1"/>
    <col min="10" max="10" width="14.8515625" style="14" customWidth="1"/>
    <col min="11" max="16384" width="9.140625" style="14" customWidth="1"/>
  </cols>
  <sheetData>
    <row r="1" ht="15">
      <c r="A1" s="13" t="s">
        <v>280</v>
      </c>
    </row>
    <row r="3" spans="1:10" ht="15">
      <c r="A3" s="641" t="s">
        <v>461</v>
      </c>
      <c r="B3" s="641"/>
      <c r="C3" s="641"/>
      <c r="D3" s="641"/>
      <c r="E3" s="641"/>
      <c r="F3" s="641"/>
      <c r="G3" s="641"/>
      <c r="H3" s="641"/>
      <c r="I3" s="641"/>
      <c r="J3" s="641"/>
    </row>
    <row r="4" spans="1:10" ht="15">
      <c r="A4" s="642" t="s">
        <v>860</v>
      </c>
      <c r="B4" s="642"/>
      <c r="C4" s="642"/>
      <c r="D4" s="642"/>
      <c r="E4" s="642"/>
      <c r="F4" s="642"/>
      <c r="G4" s="642"/>
      <c r="H4" s="642"/>
      <c r="I4" s="642"/>
      <c r="J4" s="642"/>
    </row>
    <row r="5" spans="1:10" ht="15">
      <c r="A5" s="642" t="s">
        <v>952</v>
      </c>
      <c r="B5" s="642"/>
      <c r="C5" s="642"/>
      <c r="D5" s="642"/>
      <c r="E5" s="642"/>
      <c r="F5" s="642"/>
      <c r="G5" s="642"/>
      <c r="H5" s="642"/>
      <c r="I5" s="642"/>
      <c r="J5" s="642"/>
    </row>
    <row r="6" spans="1:10" ht="15">
      <c r="A6" s="642" t="s">
        <v>953</v>
      </c>
      <c r="B6" s="642"/>
      <c r="C6" s="642"/>
      <c r="D6" s="642"/>
      <c r="E6" s="642"/>
      <c r="F6" s="642"/>
      <c r="G6" s="642"/>
      <c r="H6" s="642"/>
      <c r="I6" s="642"/>
      <c r="J6" s="642"/>
    </row>
    <row r="7" spans="1:10" ht="15.75" thickBot="1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15">
      <c r="A8" s="634" t="s">
        <v>2</v>
      </c>
      <c r="B8" s="637" t="s">
        <v>844</v>
      </c>
      <c r="C8" s="21" t="s">
        <v>167</v>
      </c>
      <c r="D8" s="631" t="s">
        <v>21</v>
      </c>
      <c r="E8" s="632"/>
      <c r="F8" s="633"/>
      <c r="G8" s="19" t="s">
        <v>21</v>
      </c>
      <c r="H8" s="19" t="s">
        <v>21</v>
      </c>
      <c r="I8" s="19" t="s">
        <v>168</v>
      </c>
      <c r="J8" s="19" t="s">
        <v>169</v>
      </c>
    </row>
    <row r="9" spans="1:10" ht="15">
      <c r="A9" s="635"/>
      <c r="B9" s="638"/>
      <c r="C9" s="24" t="s">
        <v>170</v>
      </c>
      <c r="D9" s="640" t="s">
        <v>459</v>
      </c>
      <c r="E9" s="640" t="s">
        <v>437</v>
      </c>
      <c r="F9" s="640" t="s">
        <v>460</v>
      </c>
      <c r="G9" s="22" t="s">
        <v>171</v>
      </c>
      <c r="H9" s="22" t="s">
        <v>41</v>
      </c>
      <c r="I9" s="22" t="s">
        <v>172</v>
      </c>
      <c r="J9" s="22" t="s">
        <v>171</v>
      </c>
    </row>
    <row r="10" spans="1:10" ht="18">
      <c r="A10" s="636"/>
      <c r="B10" s="639"/>
      <c r="C10" s="28" t="s">
        <v>514</v>
      </c>
      <c r="D10" s="636"/>
      <c r="E10" s="636"/>
      <c r="F10" s="636"/>
      <c r="G10" s="26"/>
      <c r="H10" s="26" t="s">
        <v>528</v>
      </c>
      <c r="I10" s="26" t="s">
        <v>528</v>
      </c>
      <c r="J10" s="26" t="s">
        <v>515</v>
      </c>
    </row>
    <row r="11" spans="1:10" ht="15">
      <c r="A11" s="11">
        <v>1</v>
      </c>
      <c r="B11" s="11">
        <v>2</v>
      </c>
      <c r="C11" s="29">
        <v>3</v>
      </c>
      <c r="D11" s="11">
        <v>4</v>
      </c>
      <c r="E11" s="11">
        <v>5</v>
      </c>
      <c r="F11" s="29">
        <v>6</v>
      </c>
      <c r="G11" s="11">
        <v>7</v>
      </c>
      <c r="H11" s="11">
        <v>8</v>
      </c>
      <c r="I11" s="29">
        <v>9</v>
      </c>
      <c r="J11" s="11">
        <v>10</v>
      </c>
    </row>
    <row r="12" spans="1:10" ht="15">
      <c r="A12" s="138">
        <v>1</v>
      </c>
      <c r="B12" s="30" t="s">
        <v>845</v>
      </c>
      <c r="C12" s="457">
        <v>10759</v>
      </c>
      <c r="D12" s="30">
        <v>76</v>
      </c>
      <c r="E12" s="30">
        <v>13</v>
      </c>
      <c r="F12" s="30">
        <f aca="true" t="shared" si="0" ref="F12:F24">E12+D12</f>
        <v>89</v>
      </c>
      <c r="G12" s="139">
        <f>2!J13+2!Q13</f>
        <v>258767</v>
      </c>
      <c r="H12" s="31">
        <v>65585</v>
      </c>
      <c r="I12" s="32">
        <f>G12/H12</f>
        <v>3.945521079515133</v>
      </c>
      <c r="J12" s="31">
        <f aca="true" t="shared" si="1" ref="J12:J24">G12/C12</f>
        <v>24.051212938005392</v>
      </c>
    </row>
    <row r="13" spans="1:10" ht="15">
      <c r="A13" s="138">
        <v>2</v>
      </c>
      <c r="B13" s="30" t="s">
        <v>846</v>
      </c>
      <c r="C13" s="119">
        <v>6414</v>
      </c>
      <c r="D13" s="30">
        <v>80</v>
      </c>
      <c r="E13" s="30">
        <v>3</v>
      </c>
      <c r="F13" s="30">
        <f t="shared" si="0"/>
        <v>83</v>
      </c>
      <c r="G13" s="139">
        <f>2!J14+2!Q14</f>
        <v>63079</v>
      </c>
      <c r="H13" s="31">
        <v>18006</v>
      </c>
      <c r="I13" s="32">
        <f aca="true" t="shared" si="2" ref="I13:I24">G13/H13</f>
        <v>3.5032211485060536</v>
      </c>
      <c r="J13" s="31">
        <f t="shared" si="1"/>
        <v>9.834580604926723</v>
      </c>
    </row>
    <row r="14" spans="1:10" ht="15">
      <c r="A14" s="138">
        <v>3</v>
      </c>
      <c r="B14" s="30" t="s">
        <v>847</v>
      </c>
      <c r="C14" s="119">
        <v>3827</v>
      </c>
      <c r="D14" s="30">
        <v>28</v>
      </c>
      <c r="E14" s="30">
        <v>4</v>
      </c>
      <c r="F14" s="30">
        <f t="shared" si="0"/>
        <v>32</v>
      </c>
      <c r="G14" s="139">
        <f>2!J15+2!Q15</f>
        <v>43253</v>
      </c>
      <c r="H14" s="31">
        <v>11725</v>
      </c>
      <c r="I14" s="32">
        <f t="shared" si="2"/>
        <v>3.688955223880597</v>
      </c>
      <c r="J14" s="31">
        <f t="shared" si="1"/>
        <v>11.302064280114973</v>
      </c>
    </row>
    <row r="15" spans="1:10" ht="15">
      <c r="A15" s="138">
        <v>4</v>
      </c>
      <c r="B15" s="30" t="s">
        <v>848</v>
      </c>
      <c r="C15" s="119">
        <v>16496</v>
      </c>
      <c r="D15" s="30">
        <v>150</v>
      </c>
      <c r="E15" s="30">
        <v>15</v>
      </c>
      <c r="F15" s="30">
        <f t="shared" si="0"/>
        <v>165</v>
      </c>
      <c r="G15" s="139">
        <f>2!J16+2!Q16</f>
        <v>328817</v>
      </c>
      <c r="H15" s="31">
        <v>82459</v>
      </c>
      <c r="I15" s="32">
        <f t="shared" si="2"/>
        <v>3.987642343467663</v>
      </c>
      <c r="J15" s="31">
        <f t="shared" si="1"/>
        <v>19.933135305528612</v>
      </c>
    </row>
    <row r="16" spans="1:10" ht="15">
      <c r="A16" s="138">
        <v>5</v>
      </c>
      <c r="B16" s="30" t="s">
        <v>849</v>
      </c>
      <c r="C16" s="119">
        <v>16404</v>
      </c>
      <c r="D16" s="30">
        <v>99</v>
      </c>
      <c r="E16" s="30">
        <v>2</v>
      </c>
      <c r="F16" s="30">
        <f t="shared" si="0"/>
        <v>101</v>
      </c>
      <c r="G16" s="139">
        <f>2!J17+2!Q17</f>
        <v>137012</v>
      </c>
      <c r="H16" s="31">
        <v>35033</v>
      </c>
      <c r="I16" s="32">
        <f t="shared" si="2"/>
        <v>3.9109411126652014</v>
      </c>
      <c r="J16" s="31">
        <f t="shared" si="1"/>
        <v>8.352353084613508</v>
      </c>
    </row>
    <row r="17" spans="1:10" ht="15">
      <c r="A17" s="138">
        <v>6</v>
      </c>
      <c r="B17" s="30" t="s">
        <v>850</v>
      </c>
      <c r="C17" s="119">
        <v>17800</v>
      </c>
      <c r="D17" s="30">
        <v>153</v>
      </c>
      <c r="E17" s="30">
        <v>8</v>
      </c>
      <c r="F17" s="30">
        <f t="shared" si="0"/>
        <v>161</v>
      </c>
      <c r="G17" s="139">
        <f>2!J18+2!Q18</f>
        <v>148912</v>
      </c>
      <c r="H17" s="31">
        <v>38247</v>
      </c>
      <c r="I17" s="32">
        <f t="shared" si="2"/>
        <v>3.8934295500300675</v>
      </c>
      <c r="J17" s="31">
        <f t="shared" si="1"/>
        <v>8.365842696629214</v>
      </c>
    </row>
    <row r="18" spans="1:10" ht="15">
      <c r="A18" s="138">
        <v>7</v>
      </c>
      <c r="B18" s="30" t="s">
        <v>851</v>
      </c>
      <c r="C18" s="119">
        <v>14999</v>
      </c>
      <c r="D18" s="30">
        <v>175</v>
      </c>
      <c r="E18" s="30">
        <v>12</v>
      </c>
      <c r="F18" s="30">
        <f t="shared" si="0"/>
        <v>187</v>
      </c>
      <c r="G18" s="139">
        <f>2!J19+2!Q19</f>
        <v>339824</v>
      </c>
      <c r="H18" s="31">
        <v>90054</v>
      </c>
      <c r="I18" s="32">
        <f t="shared" si="2"/>
        <v>3.7735580873698003</v>
      </c>
      <c r="J18" s="31">
        <f t="shared" si="1"/>
        <v>22.65644376291753</v>
      </c>
    </row>
    <row r="19" spans="1:10" ht="15">
      <c r="A19" s="138">
        <v>8</v>
      </c>
      <c r="B19" s="30" t="s">
        <v>852</v>
      </c>
      <c r="C19" s="119">
        <v>8997</v>
      </c>
      <c r="D19" s="30">
        <v>94</v>
      </c>
      <c r="E19" s="30">
        <v>3</v>
      </c>
      <c r="F19" s="30">
        <f t="shared" si="0"/>
        <v>97</v>
      </c>
      <c r="G19" s="139">
        <f>2!J20+2!Q20</f>
        <v>122542</v>
      </c>
      <c r="H19" s="31">
        <v>30487</v>
      </c>
      <c r="I19" s="32">
        <f t="shared" si="2"/>
        <v>4.019483714370059</v>
      </c>
      <c r="J19" s="31">
        <f t="shared" si="1"/>
        <v>13.620317883739023</v>
      </c>
    </row>
    <row r="20" spans="1:10" ht="15">
      <c r="A20" s="138">
        <v>9</v>
      </c>
      <c r="B20" s="30" t="s">
        <v>853</v>
      </c>
      <c r="C20" s="119">
        <v>10784</v>
      </c>
      <c r="D20" s="30">
        <v>113</v>
      </c>
      <c r="E20" s="30">
        <v>12</v>
      </c>
      <c r="F20" s="30">
        <f t="shared" si="0"/>
        <v>125</v>
      </c>
      <c r="G20" s="139">
        <f>2!J21+2!Q21</f>
        <v>97898</v>
      </c>
      <c r="H20" s="31">
        <v>28844</v>
      </c>
      <c r="I20" s="32">
        <f t="shared" si="2"/>
        <v>3.3940507557897655</v>
      </c>
      <c r="J20" s="31">
        <f t="shared" si="1"/>
        <v>9.078078635014837</v>
      </c>
    </row>
    <row r="21" spans="1:10" ht="15">
      <c r="A21" s="138">
        <v>10</v>
      </c>
      <c r="B21" s="30" t="s">
        <v>854</v>
      </c>
      <c r="C21" s="119">
        <v>8830</v>
      </c>
      <c r="D21" s="30">
        <v>85</v>
      </c>
      <c r="E21" s="30">
        <v>8</v>
      </c>
      <c r="F21" s="30">
        <f t="shared" si="0"/>
        <v>93</v>
      </c>
      <c r="G21" s="139">
        <f>2!J22+2!Q22</f>
        <v>127058</v>
      </c>
      <c r="H21" s="31">
        <v>32846</v>
      </c>
      <c r="I21" s="32">
        <f t="shared" si="2"/>
        <v>3.8682944650794617</v>
      </c>
      <c r="J21" s="31">
        <f t="shared" si="1"/>
        <v>14.389354473386183</v>
      </c>
    </row>
    <row r="22" spans="1:10" ht="15">
      <c r="A22" s="138">
        <v>11</v>
      </c>
      <c r="B22" s="30" t="s">
        <v>855</v>
      </c>
      <c r="C22" s="502">
        <v>3834</v>
      </c>
      <c r="D22" s="30">
        <v>102</v>
      </c>
      <c r="E22" s="30">
        <v>3</v>
      </c>
      <c r="F22" s="30">
        <f t="shared" si="0"/>
        <v>105</v>
      </c>
      <c r="G22" s="139">
        <f>2!J23+2!Q23</f>
        <v>93898</v>
      </c>
      <c r="H22" s="31">
        <v>33893</v>
      </c>
      <c r="I22" s="32">
        <f t="shared" si="2"/>
        <v>2.770424571445431</v>
      </c>
      <c r="J22" s="31">
        <f t="shared" si="1"/>
        <v>24.490871152842985</v>
      </c>
    </row>
    <row r="23" spans="1:10" ht="15">
      <c r="A23" s="138">
        <v>12</v>
      </c>
      <c r="B23" s="30" t="s">
        <v>856</v>
      </c>
      <c r="C23" s="119">
        <v>8300</v>
      </c>
      <c r="D23" s="30">
        <v>93</v>
      </c>
      <c r="E23" s="30">
        <v>10</v>
      </c>
      <c r="F23" s="30">
        <f t="shared" si="0"/>
        <v>103</v>
      </c>
      <c r="G23" s="139">
        <f>2!J24+2!Q24</f>
        <v>122776</v>
      </c>
      <c r="H23" s="31">
        <v>34387</v>
      </c>
      <c r="I23" s="32">
        <f t="shared" si="2"/>
        <v>3.5704190537121585</v>
      </c>
      <c r="J23" s="31">
        <f t="shared" si="1"/>
        <v>14.792289156626506</v>
      </c>
    </row>
    <row r="24" spans="1:10" ht="15">
      <c r="A24" s="138">
        <v>13</v>
      </c>
      <c r="B24" s="30" t="s">
        <v>857</v>
      </c>
      <c r="C24" s="119">
        <v>23825</v>
      </c>
      <c r="D24" s="30">
        <v>115</v>
      </c>
      <c r="E24" s="30">
        <v>9</v>
      </c>
      <c r="F24" s="30">
        <f t="shared" si="0"/>
        <v>124</v>
      </c>
      <c r="G24" s="139">
        <f>2!J25+2!Q25</f>
        <v>98834</v>
      </c>
      <c r="H24" s="31">
        <v>23609</v>
      </c>
      <c r="I24" s="32">
        <f t="shared" si="2"/>
        <v>4.186284891354992</v>
      </c>
      <c r="J24" s="31">
        <f t="shared" si="1"/>
        <v>4.148331584470094</v>
      </c>
    </row>
    <row r="25" spans="1:10" ht="15">
      <c r="A25" s="138">
        <v>14</v>
      </c>
      <c r="B25" s="30" t="s">
        <v>858</v>
      </c>
      <c r="C25" s="119">
        <v>2679</v>
      </c>
      <c r="D25" s="30">
        <v>0</v>
      </c>
      <c r="E25" s="30">
        <v>30</v>
      </c>
      <c r="F25" s="30">
        <f>E25+D25</f>
        <v>30</v>
      </c>
      <c r="G25" s="139">
        <f>2!J26+2!Q26</f>
        <v>200998</v>
      </c>
      <c r="H25" s="31">
        <v>53443</v>
      </c>
      <c r="I25" s="32">
        <f>G25/H25</f>
        <v>3.7609789869580674</v>
      </c>
      <c r="J25" s="31">
        <f>G25/C25</f>
        <v>75.02724897349758</v>
      </c>
    </row>
    <row r="26" spans="1:10" ht="15">
      <c r="A26" s="30"/>
      <c r="B26" s="30"/>
      <c r="C26" s="34"/>
      <c r="D26" s="35"/>
      <c r="E26" s="35"/>
      <c r="F26" s="35"/>
      <c r="G26" s="36"/>
      <c r="H26" s="36"/>
      <c r="I26" s="32"/>
      <c r="J26" s="31"/>
    </row>
    <row r="27" spans="1:10" ht="15.75" thickBot="1">
      <c r="A27" s="37" t="s">
        <v>859</v>
      </c>
      <c r="B27" s="37"/>
      <c r="C27" s="38">
        <f>SUM(C12:C26)</f>
        <v>153948</v>
      </c>
      <c r="D27" s="38">
        <f>SUM(D12:D26)</f>
        <v>1363</v>
      </c>
      <c r="E27" s="38">
        <f>SUM(E12:E26)</f>
        <v>132</v>
      </c>
      <c r="F27" s="243">
        <f>E27+D27</f>
        <v>1495</v>
      </c>
      <c r="G27" s="379">
        <f>SUM(G12:G25)</f>
        <v>2183668</v>
      </c>
      <c r="H27" s="379">
        <f>SUM(H12:H26)</f>
        <v>578618</v>
      </c>
      <c r="I27" s="113">
        <f>G27/H27</f>
        <v>3.7739372090049046</v>
      </c>
      <c r="J27" s="167">
        <f>G27/C27</f>
        <v>14.184451892846935</v>
      </c>
    </row>
    <row r="28" spans="1:10" ht="1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ht="15">
      <c r="A29" s="525" t="s">
        <v>951</v>
      </c>
    </row>
    <row r="30" ht="15">
      <c r="J30" s="511"/>
    </row>
    <row r="31" ht="15">
      <c r="D31" s="486"/>
    </row>
  </sheetData>
  <mergeCells count="10">
    <mergeCell ref="A3:J3"/>
    <mergeCell ref="A4:J4"/>
    <mergeCell ref="A5:J5"/>
    <mergeCell ref="A6:J6"/>
    <mergeCell ref="D8:F8"/>
    <mergeCell ref="A8:A10"/>
    <mergeCell ref="B8:B10"/>
    <mergeCell ref="D9:D10"/>
    <mergeCell ref="E9:E10"/>
    <mergeCell ref="F9:F10"/>
  </mergeCells>
  <printOptions horizontalCentered="1"/>
  <pageMargins left="1.6929133858267718" right="0.9055118110236221" top="1.141732283464567" bottom="0.9055118110236221" header="0" footer="1.1811023622047245"/>
  <pageSetup fitToHeight="1" fitToWidth="1" horizontalDpi="300" verticalDpi="300" orientation="landscape" paperSize="9" scale="79" r:id="rId1"/>
  <headerFooter alignWithMargins="0">
    <oddFooter>&amp;C58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G28"/>
  <sheetViews>
    <sheetView zoomScale="75" zoomScaleNormal="75" workbookViewId="0" topLeftCell="A1">
      <selection activeCell="A4" sqref="A4:G4"/>
    </sheetView>
  </sheetViews>
  <sheetFormatPr defaultColWidth="9.140625" defaultRowHeight="12.75"/>
  <cols>
    <col min="1" max="1" width="5.7109375" style="14" customWidth="1"/>
    <col min="2" max="2" width="25.7109375" style="14" customWidth="1"/>
    <col min="3" max="7" width="19.00390625" style="14" customWidth="1"/>
    <col min="8" max="16384" width="9.140625" style="14" customWidth="1"/>
  </cols>
  <sheetData>
    <row r="1" ht="15">
      <c r="A1" s="13" t="s">
        <v>477</v>
      </c>
    </row>
    <row r="3" spans="1:7" ht="15">
      <c r="A3" s="15" t="s">
        <v>971</v>
      </c>
      <c r="B3" s="15"/>
      <c r="C3" s="15"/>
      <c r="D3" s="15"/>
      <c r="E3" s="15"/>
      <c r="F3" s="15"/>
      <c r="G3" s="15"/>
    </row>
    <row r="4" spans="1:7" ht="15">
      <c r="A4" s="642" t="str">
        <f>1!A5</f>
        <v>PROVINSI KALIMANTAN TENGAH</v>
      </c>
      <c r="B4" s="642"/>
      <c r="C4" s="642"/>
      <c r="D4" s="642"/>
      <c r="E4" s="642"/>
      <c r="F4" s="642"/>
      <c r="G4" s="642"/>
    </row>
    <row r="5" spans="1:7" ht="15">
      <c r="A5" s="642" t="str">
        <f>1!A6</f>
        <v>TAHUN 2009</v>
      </c>
      <c r="B5" s="642"/>
      <c r="C5" s="642"/>
      <c r="D5" s="642"/>
      <c r="E5" s="642"/>
      <c r="F5" s="642"/>
      <c r="G5" s="642"/>
    </row>
    <row r="6" spans="1:7" ht="15.75" thickBot="1">
      <c r="A6" s="18"/>
      <c r="B6" s="18"/>
      <c r="C6" s="18"/>
      <c r="D6" s="18"/>
      <c r="E6" s="18"/>
      <c r="F6" s="18"/>
      <c r="G6" s="18"/>
    </row>
    <row r="7" spans="1:7" ht="19.5" customHeight="1">
      <c r="A7" s="634" t="s">
        <v>2</v>
      </c>
      <c r="B7" s="637" t="s">
        <v>3</v>
      </c>
      <c r="C7" s="649" t="s">
        <v>51</v>
      </c>
      <c r="D7" s="44" t="s">
        <v>52</v>
      </c>
      <c r="E7" s="47"/>
      <c r="F7" s="631" t="s">
        <v>273</v>
      </c>
      <c r="G7" s="633"/>
    </row>
    <row r="8" spans="1:7" ht="19.5" customHeight="1">
      <c r="A8" s="636"/>
      <c r="B8" s="639"/>
      <c r="C8" s="616"/>
      <c r="D8" s="185" t="s">
        <v>21</v>
      </c>
      <c r="E8" s="185" t="s">
        <v>27</v>
      </c>
      <c r="F8" s="185" t="s">
        <v>21</v>
      </c>
      <c r="G8" s="185" t="s">
        <v>27</v>
      </c>
    </row>
    <row r="9" spans="1:7" ht="15">
      <c r="A9" s="11">
        <v>1</v>
      </c>
      <c r="B9" s="29">
        <v>2</v>
      </c>
      <c r="C9" s="29">
        <v>4</v>
      </c>
      <c r="D9" s="11">
        <v>5</v>
      </c>
      <c r="E9" s="29">
        <v>6</v>
      </c>
      <c r="F9" s="11">
        <v>7</v>
      </c>
      <c r="G9" s="11">
        <v>8</v>
      </c>
    </row>
    <row r="10" spans="1:7" ht="15">
      <c r="A10" s="138">
        <f>6!A11</f>
        <v>1</v>
      </c>
      <c r="B10" s="33" t="str">
        <f>6!B11</f>
        <v>Kotawaringin Barat</v>
      </c>
      <c r="C10" s="31">
        <v>41872</v>
      </c>
      <c r="D10" s="186">
        <f>'21'!K12</f>
        <v>7222</v>
      </c>
      <c r="E10" s="187">
        <f aca="true" t="shared" si="0" ref="E10:E25">D10/C10*100</f>
        <v>17.247802827665264</v>
      </c>
      <c r="F10" s="31">
        <f>'20'!K11</f>
        <v>33689</v>
      </c>
      <c r="G10" s="188">
        <f aca="true" t="shared" si="1" ref="G10:G25">F10/C10*100</f>
        <v>80.4571073748567</v>
      </c>
    </row>
    <row r="11" spans="1:7" ht="15">
      <c r="A11" s="138">
        <f>6!A12</f>
        <v>2</v>
      </c>
      <c r="B11" s="33" t="str">
        <f>6!B12</f>
        <v>Lamandau</v>
      </c>
      <c r="C11" s="31">
        <v>14459</v>
      </c>
      <c r="D11" s="186">
        <f>'21'!K13</f>
        <v>1111</v>
      </c>
      <c r="E11" s="187">
        <f t="shared" si="0"/>
        <v>7.683795559858911</v>
      </c>
      <c r="F11" s="31">
        <f>'20'!K12</f>
        <v>10867</v>
      </c>
      <c r="G11" s="188">
        <f t="shared" si="1"/>
        <v>75.15734144823294</v>
      </c>
    </row>
    <row r="12" spans="1:7" ht="15">
      <c r="A12" s="138">
        <f>6!A13</f>
        <v>3</v>
      </c>
      <c r="B12" s="33" t="str">
        <f>6!B13</f>
        <v>Sukamara</v>
      </c>
      <c r="C12" s="31">
        <v>9874</v>
      </c>
      <c r="D12" s="186">
        <f>'21'!K14</f>
        <v>7081</v>
      </c>
      <c r="E12" s="187">
        <f t="shared" si="0"/>
        <v>71.71359124974681</v>
      </c>
      <c r="F12" s="31">
        <f>'20'!K13</f>
        <v>1962</v>
      </c>
      <c r="G12" s="188">
        <f t="shared" si="1"/>
        <v>19.870366619404496</v>
      </c>
    </row>
    <row r="13" spans="1:7" ht="15">
      <c r="A13" s="138">
        <f>6!A14</f>
        <v>4</v>
      </c>
      <c r="B13" s="33" t="str">
        <f>6!B14</f>
        <v>Kotawaringin Timur</v>
      </c>
      <c r="C13" s="31">
        <v>62924</v>
      </c>
      <c r="D13" s="186">
        <f>'21'!K15</f>
        <v>10484</v>
      </c>
      <c r="E13" s="187">
        <f t="shared" si="0"/>
        <v>16.66136927086644</v>
      </c>
      <c r="F13" s="31">
        <f>'20'!K14</f>
        <v>49692</v>
      </c>
      <c r="G13" s="188">
        <f t="shared" si="1"/>
        <v>78.9714576314284</v>
      </c>
    </row>
    <row r="14" spans="1:7" ht="15">
      <c r="A14" s="138">
        <f>6!A15</f>
        <v>5</v>
      </c>
      <c r="B14" s="33" t="str">
        <f>6!B15</f>
        <v>Seruyan</v>
      </c>
      <c r="C14" s="31">
        <v>19769</v>
      </c>
      <c r="D14" s="186">
        <f>'21'!K16</f>
        <v>3498</v>
      </c>
      <c r="E14" s="187">
        <f t="shared" si="0"/>
        <v>17.694369973190348</v>
      </c>
      <c r="F14" s="31">
        <f>'20'!K15</f>
        <v>15380</v>
      </c>
      <c r="G14" s="188">
        <f t="shared" si="1"/>
        <v>77.79857352420456</v>
      </c>
    </row>
    <row r="15" spans="1:7" ht="15">
      <c r="A15" s="138">
        <f>6!A16</f>
        <v>6</v>
      </c>
      <c r="B15" s="33" t="str">
        <f>6!B16</f>
        <v>Katingan</v>
      </c>
      <c r="C15" s="607" t="s">
        <v>694</v>
      </c>
      <c r="D15" s="607" t="s">
        <v>694</v>
      </c>
      <c r="E15" s="607" t="s">
        <v>694</v>
      </c>
      <c r="F15" s="607" t="s">
        <v>694</v>
      </c>
      <c r="G15" s="607" t="s">
        <v>694</v>
      </c>
    </row>
    <row r="16" spans="1:7" ht="15">
      <c r="A16" s="138">
        <f>6!A17</f>
        <v>7</v>
      </c>
      <c r="B16" s="33" t="str">
        <f>6!B17</f>
        <v>Kapuas</v>
      </c>
      <c r="C16" s="31">
        <v>72775</v>
      </c>
      <c r="D16" s="186">
        <f>'21'!K18</f>
        <v>13490</v>
      </c>
      <c r="E16" s="187">
        <f t="shared" si="0"/>
        <v>18.536585365853657</v>
      </c>
      <c r="F16" s="31">
        <f>'20'!K17</f>
        <v>56799</v>
      </c>
      <c r="G16" s="188">
        <f t="shared" si="1"/>
        <v>78.04740638955685</v>
      </c>
    </row>
    <row r="17" spans="1:7" ht="15">
      <c r="A17" s="138">
        <f>6!A18</f>
        <v>8</v>
      </c>
      <c r="B17" s="33" t="str">
        <f>6!B18</f>
        <v>Pulang Pisau</v>
      </c>
      <c r="C17" s="31">
        <v>18725</v>
      </c>
      <c r="D17" s="186">
        <f>'21'!K19</f>
        <v>2730</v>
      </c>
      <c r="E17" s="187">
        <f t="shared" si="0"/>
        <v>14.57943925233645</v>
      </c>
      <c r="F17" s="31">
        <f>'20'!K18</f>
        <v>12340</v>
      </c>
      <c r="G17" s="188">
        <f t="shared" si="1"/>
        <v>65.90120160213618</v>
      </c>
    </row>
    <row r="18" spans="1:7" ht="15">
      <c r="A18" s="138">
        <f>6!A19</f>
        <v>9</v>
      </c>
      <c r="B18" s="33" t="str">
        <f>6!B19</f>
        <v>Gunung Mas</v>
      </c>
      <c r="C18" s="31">
        <v>19411</v>
      </c>
      <c r="D18" s="186">
        <f>'21'!K20</f>
        <v>2065</v>
      </c>
      <c r="E18" s="187">
        <f t="shared" si="0"/>
        <v>10.638297872340425</v>
      </c>
      <c r="F18" s="31">
        <f>'20'!K19</f>
        <v>9513</v>
      </c>
      <c r="G18" s="188">
        <f t="shared" si="1"/>
        <v>49.00829426613776</v>
      </c>
    </row>
    <row r="19" spans="1:7" ht="15">
      <c r="A19" s="138">
        <f>6!A20</f>
        <v>10</v>
      </c>
      <c r="B19" s="33" t="str">
        <f>6!B20</f>
        <v>Barito Selatan</v>
      </c>
      <c r="C19" s="31">
        <v>24817</v>
      </c>
      <c r="D19" s="186">
        <f>'21'!K21</f>
        <v>2498</v>
      </c>
      <c r="E19" s="187">
        <f t="shared" si="0"/>
        <v>10.065680783334004</v>
      </c>
      <c r="F19" s="31">
        <f>'20'!K20</f>
        <v>19690</v>
      </c>
      <c r="G19" s="188">
        <f t="shared" si="1"/>
        <v>79.34077446911391</v>
      </c>
    </row>
    <row r="20" spans="1:7" ht="15">
      <c r="A20" s="138">
        <f>6!A21</f>
        <v>11</v>
      </c>
      <c r="B20" s="33" t="str">
        <f>6!B21</f>
        <v>Barito Timur</v>
      </c>
      <c r="C20" s="31">
        <v>25696</v>
      </c>
      <c r="D20" s="186">
        <f>'21'!K22</f>
        <v>94</v>
      </c>
      <c r="E20" s="187">
        <f t="shared" si="0"/>
        <v>0.3658156911581569</v>
      </c>
      <c r="F20" s="31">
        <f>'20'!K21</f>
        <v>11895</v>
      </c>
      <c r="G20" s="188">
        <f t="shared" si="1"/>
        <v>46.291251556662516</v>
      </c>
    </row>
    <row r="21" spans="1:7" ht="15">
      <c r="A21" s="138">
        <f>6!A22</f>
        <v>12</v>
      </c>
      <c r="B21" s="33" t="str">
        <f>6!B22</f>
        <v>Barito Utara</v>
      </c>
      <c r="C21" s="139">
        <v>14128</v>
      </c>
      <c r="D21" s="186">
        <f>'21'!K23</f>
        <v>2519</v>
      </c>
      <c r="E21" s="187">
        <f t="shared" si="0"/>
        <v>17.829841449603624</v>
      </c>
      <c r="F21" s="139">
        <f>'20'!K22</f>
        <v>21400</v>
      </c>
      <c r="G21" s="188">
        <f t="shared" si="1"/>
        <v>151.4722536806342</v>
      </c>
    </row>
    <row r="22" spans="1:7" ht="15">
      <c r="A22" s="138">
        <f>6!A23</f>
        <v>13</v>
      </c>
      <c r="B22" s="33" t="str">
        <f>6!B23</f>
        <v>Murung Raya</v>
      </c>
      <c r="C22" s="31">
        <v>20465</v>
      </c>
      <c r="D22" s="186">
        <f>'21'!K24</f>
        <v>2519</v>
      </c>
      <c r="E22" s="187">
        <f t="shared" si="0"/>
        <v>12.308819936476912</v>
      </c>
      <c r="F22" s="31">
        <f>'20'!K23</f>
        <v>15663</v>
      </c>
      <c r="G22" s="188">
        <f t="shared" si="1"/>
        <v>76.53554849743465</v>
      </c>
    </row>
    <row r="23" spans="1:7" ht="15">
      <c r="A23" s="138">
        <f>6!A24</f>
        <v>14</v>
      </c>
      <c r="B23" s="33" t="str">
        <f>6!B24</f>
        <v>Palangka Raya</v>
      </c>
      <c r="C23" s="31">
        <v>30150</v>
      </c>
      <c r="D23" s="186">
        <f>'21'!K25</f>
        <v>2909</v>
      </c>
      <c r="E23" s="187">
        <f t="shared" si="0"/>
        <v>9.648424543946932</v>
      </c>
      <c r="F23" s="31">
        <f>'20'!K24</f>
        <v>18706</v>
      </c>
      <c r="G23" s="188">
        <f t="shared" si="1"/>
        <v>62.04311774461028</v>
      </c>
    </row>
    <row r="24" spans="1:7" ht="15">
      <c r="A24" s="35"/>
      <c r="B24" s="34"/>
      <c r="C24" s="36"/>
      <c r="D24" s="189"/>
      <c r="E24" s="187"/>
      <c r="F24" s="36"/>
      <c r="G24" s="188"/>
    </row>
    <row r="25" spans="1:7" ht="19.5" customHeight="1" thickBot="1">
      <c r="A25" s="165" t="s">
        <v>859</v>
      </c>
      <c r="B25" s="70"/>
      <c r="C25" s="41">
        <f>SUM(C10:C24)</f>
        <v>375065</v>
      </c>
      <c r="D25" s="41">
        <f>SUM(D10:D24)</f>
        <v>58220</v>
      </c>
      <c r="E25" s="190">
        <f t="shared" si="0"/>
        <v>15.522642741924733</v>
      </c>
      <c r="F25" s="41">
        <f>SUM(F10:F24)</f>
        <v>277596</v>
      </c>
      <c r="G25" s="191">
        <f t="shared" si="1"/>
        <v>74.01277111967259</v>
      </c>
    </row>
    <row r="26" spans="1:7" ht="15">
      <c r="A26" s="114"/>
      <c r="B26" s="114"/>
      <c r="C26" s="73"/>
      <c r="D26" s="73"/>
      <c r="E26" s="73"/>
      <c r="F26" s="192"/>
      <c r="G26" s="192"/>
    </row>
    <row r="27" spans="1:7" ht="15">
      <c r="A27" s="525" t="s">
        <v>243</v>
      </c>
      <c r="B27" s="17"/>
      <c r="C27" s="17"/>
      <c r="D27" s="17"/>
      <c r="E27" s="17"/>
      <c r="F27" s="17"/>
      <c r="G27" s="17"/>
    </row>
    <row r="28" ht="15">
      <c r="G28" s="511"/>
    </row>
  </sheetData>
  <mergeCells count="6">
    <mergeCell ref="A4:G4"/>
    <mergeCell ref="A5:G5"/>
    <mergeCell ref="F7:G7"/>
    <mergeCell ref="C7:C8"/>
    <mergeCell ref="A7:A8"/>
    <mergeCell ref="B7:B8"/>
  </mergeCells>
  <printOptions horizontalCentered="1"/>
  <pageMargins left="1.6929133858267718" right="0.9055118110236221" top="1.141732283464567" bottom="0.9055118110236221" header="0" footer="1.1811023622047245"/>
  <pageSetup fitToHeight="1" fitToWidth="1" horizontalDpi="300" verticalDpi="300" orientation="landscape" paperSize="9" scale="93" r:id="rId1"/>
  <headerFooter alignWithMargins="0">
    <oddFooter>&amp;C76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T29"/>
  <sheetViews>
    <sheetView view="pageBreakPreview" zoomScale="60" zoomScaleNormal="75" workbookViewId="0" topLeftCell="A1">
      <selection activeCell="F32" sqref="F32"/>
    </sheetView>
  </sheetViews>
  <sheetFormatPr defaultColWidth="9.140625" defaultRowHeight="12.75"/>
  <cols>
    <col min="1" max="1" width="5.7109375" style="14" customWidth="1"/>
    <col min="2" max="2" width="21.7109375" style="14" customWidth="1"/>
    <col min="3" max="3" width="9.7109375" style="14" customWidth="1"/>
    <col min="4" max="4" width="10.140625" style="14" customWidth="1"/>
    <col min="5" max="5" width="10.7109375" style="14" customWidth="1"/>
    <col min="6" max="6" width="13.00390625" style="14" customWidth="1"/>
    <col min="7" max="7" width="13.57421875" style="14" customWidth="1"/>
    <col min="8" max="8" width="9.28125" style="14" customWidth="1"/>
    <col min="9" max="10" width="8.7109375" style="14" customWidth="1"/>
    <col min="11" max="11" width="12.421875" style="14" customWidth="1"/>
    <col min="12" max="12" width="9.8515625" style="14" customWidth="1"/>
    <col min="13" max="13" width="10.140625" style="14" customWidth="1"/>
    <col min="14" max="14" width="11.00390625" style="14" customWidth="1"/>
    <col min="15" max="15" width="11.140625" style="14" customWidth="1"/>
    <col min="16" max="16" width="11.57421875" style="14" customWidth="1"/>
    <col min="17" max="17" width="9.28125" style="14" customWidth="1"/>
    <col min="18" max="19" width="8.7109375" style="14" customWidth="1"/>
    <col min="20" max="20" width="9.140625" style="14" customWidth="1"/>
    <col min="21" max="16384" width="9.140625" style="14" customWidth="1"/>
  </cols>
  <sheetData>
    <row r="1" spans="1:2" ht="15.75">
      <c r="A1" s="13" t="s">
        <v>291</v>
      </c>
      <c r="B1" s="193"/>
    </row>
    <row r="3" spans="2:20" ht="15">
      <c r="B3" s="15" t="s">
        <v>242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5">
      <c r="A4" s="642" t="str">
        <f>1!A5</f>
        <v>PROVINSI KALIMANTAN TENGAH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</row>
    <row r="5" spans="1:20" ht="15">
      <c r="A5" s="642" t="str">
        <f>1!A6</f>
        <v>TAHUN 2009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</row>
    <row r="6" spans="1:20" ht="15.75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8" customHeight="1">
      <c r="A7" s="634" t="s">
        <v>2</v>
      </c>
      <c r="B7" s="637" t="s">
        <v>844</v>
      </c>
      <c r="C7" s="44" t="s">
        <v>252</v>
      </c>
      <c r="D7" s="44"/>
      <c r="E7" s="44"/>
      <c r="F7" s="44"/>
      <c r="G7" s="44"/>
      <c r="H7" s="44"/>
      <c r="I7" s="44"/>
      <c r="J7" s="44"/>
      <c r="K7" s="44"/>
      <c r="L7" s="44" t="s">
        <v>253</v>
      </c>
      <c r="M7" s="44"/>
      <c r="N7" s="44"/>
      <c r="O7" s="44"/>
      <c r="P7" s="44"/>
      <c r="Q7" s="44"/>
      <c r="R7" s="44"/>
      <c r="S7" s="44"/>
      <c r="T7" s="44"/>
    </row>
    <row r="8" spans="1:20" ht="18" customHeight="1">
      <c r="A8" s="635"/>
      <c r="B8" s="638"/>
      <c r="C8" s="194" t="s">
        <v>146</v>
      </c>
      <c r="D8" s="194"/>
      <c r="E8" s="194"/>
      <c r="F8" s="194" t="s">
        <v>147</v>
      </c>
      <c r="G8" s="194"/>
      <c r="H8" s="194"/>
      <c r="I8" s="194"/>
      <c r="J8" s="194"/>
      <c r="K8" s="661" t="s">
        <v>148</v>
      </c>
      <c r="L8" s="202" t="s">
        <v>146</v>
      </c>
      <c r="M8" s="202"/>
      <c r="N8" s="202"/>
      <c r="O8" s="202" t="s">
        <v>147</v>
      </c>
      <c r="P8" s="202"/>
      <c r="Q8" s="202"/>
      <c r="R8" s="202"/>
      <c r="S8" s="203"/>
      <c r="T8" s="661" t="s">
        <v>148</v>
      </c>
    </row>
    <row r="9" spans="1:20" ht="38.25" customHeight="1">
      <c r="A9" s="636"/>
      <c r="B9" s="639"/>
      <c r="C9" s="201" t="s">
        <v>149</v>
      </c>
      <c r="D9" s="201" t="s">
        <v>150</v>
      </c>
      <c r="E9" s="201" t="s">
        <v>151</v>
      </c>
      <c r="F9" s="201" t="s">
        <v>518</v>
      </c>
      <c r="G9" s="201" t="s">
        <v>153</v>
      </c>
      <c r="H9" s="1" t="s">
        <v>154</v>
      </c>
      <c r="I9" s="201" t="s">
        <v>155</v>
      </c>
      <c r="J9" s="201" t="s">
        <v>276</v>
      </c>
      <c r="K9" s="662"/>
      <c r="L9" s="201" t="s">
        <v>149</v>
      </c>
      <c r="M9" s="201" t="s">
        <v>150</v>
      </c>
      <c r="N9" s="201" t="s">
        <v>151</v>
      </c>
      <c r="O9" s="201" t="s">
        <v>518</v>
      </c>
      <c r="P9" s="201" t="s">
        <v>153</v>
      </c>
      <c r="Q9" s="1" t="s">
        <v>154</v>
      </c>
      <c r="R9" s="201" t="s">
        <v>155</v>
      </c>
      <c r="S9" s="201" t="s">
        <v>276</v>
      </c>
      <c r="T9" s="662"/>
    </row>
    <row r="10" spans="1:20" ht="12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</row>
    <row r="11" spans="1:20" ht="15">
      <c r="A11" s="138">
        <f>1!A12</f>
        <v>1</v>
      </c>
      <c r="B11" s="30" t="str">
        <f>1!B12</f>
        <v>Kotawaringin Barat</v>
      </c>
      <c r="C11" s="196">
        <v>568</v>
      </c>
      <c r="D11" s="196">
        <v>436</v>
      </c>
      <c r="E11" s="196">
        <v>2139</v>
      </c>
      <c r="F11" s="196">
        <v>16877</v>
      </c>
      <c r="G11" s="196">
        <v>13102</v>
      </c>
      <c r="H11" s="196">
        <v>567</v>
      </c>
      <c r="I11" s="196">
        <v>0</v>
      </c>
      <c r="J11" s="196">
        <v>0</v>
      </c>
      <c r="K11" s="196">
        <f>SUM(C11:J11)</f>
        <v>33689</v>
      </c>
      <c r="L11" s="197">
        <f>C11/K11*100</f>
        <v>1.6860102704146753</v>
      </c>
      <c r="M11" s="197">
        <f>D11/K11*100</f>
        <v>1.2941909822197155</v>
      </c>
      <c r="N11" s="197">
        <f>E11/K11*100</f>
        <v>6.349253465522871</v>
      </c>
      <c r="O11" s="197">
        <f>F11/K11*100</f>
        <v>50.09647065807831</v>
      </c>
      <c r="P11" s="197">
        <f>G11/K11*100</f>
        <v>38.891032681290625</v>
      </c>
      <c r="Q11" s="197">
        <f>H11/K11*100</f>
        <v>1.6830419424738046</v>
      </c>
      <c r="R11" s="197">
        <f>I11/K11*100</f>
        <v>0</v>
      </c>
      <c r="S11" s="197">
        <f>J11/K11*100</f>
        <v>0</v>
      </c>
      <c r="T11" s="196">
        <f>SUM(L11:S11)</f>
        <v>100</v>
      </c>
    </row>
    <row r="12" spans="1:20" ht="15">
      <c r="A12" s="138">
        <f>1!A13</f>
        <v>2</v>
      </c>
      <c r="B12" s="30" t="str">
        <f>1!B13</f>
        <v>Lamandau</v>
      </c>
      <c r="C12" s="31">
        <v>0</v>
      </c>
      <c r="D12" s="31">
        <v>6</v>
      </c>
      <c r="E12" s="31">
        <v>1736</v>
      </c>
      <c r="F12" s="31">
        <v>5143</v>
      </c>
      <c r="G12" s="31">
        <v>3563</v>
      </c>
      <c r="H12" s="31">
        <v>419</v>
      </c>
      <c r="I12" s="31">
        <f>0</f>
        <v>0</v>
      </c>
      <c r="J12" s="31">
        <f>0</f>
        <v>0</v>
      </c>
      <c r="K12" s="31">
        <f>SUM(C12:J12)</f>
        <v>10867</v>
      </c>
      <c r="L12" s="198">
        <f>C12/K12*100</f>
        <v>0</v>
      </c>
      <c r="M12" s="198">
        <f aca="true" t="shared" si="0" ref="M12:M22">D12/K12*100</f>
        <v>0.05521303027514493</v>
      </c>
      <c r="N12" s="198">
        <f aca="true" t="shared" si="1" ref="N12:N22">E12/K12*100</f>
        <v>15.974970092941934</v>
      </c>
      <c r="O12" s="198">
        <f aca="true" t="shared" si="2" ref="O12:O22">F12/K12*100</f>
        <v>47.32676911751174</v>
      </c>
      <c r="P12" s="198">
        <f aca="true" t="shared" si="3" ref="P12:P22">G12/K12*100</f>
        <v>32.78733781172357</v>
      </c>
      <c r="Q12" s="198">
        <f aca="true" t="shared" si="4" ref="Q12:Q22">H12/K12*100</f>
        <v>3.8557099475476213</v>
      </c>
      <c r="R12" s="198">
        <f aca="true" t="shared" si="5" ref="R12:R22">I12/K12*100</f>
        <v>0</v>
      </c>
      <c r="S12" s="198">
        <f>J12/K12*100</f>
        <v>0</v>
      </c>
      <c r="T12" s="31">
        <f aca="true" t="shared" si="6" ref="T12:T22">SUM(L12:S12)</f>
        <v>100.00000000000001</v>
      </c>
    </row>
    <row r="13" spans="1:20" ht="15">
      <c r="A13" s="138">
        <f>1!A14</f>
        <v>3</v>
      </c>
      <c r="B13" s="30" t="str">
        <f>1!B14</f>
        <v>Sukamara</v>
      </c>
      <c r="C13" s="139">
        <v>1</v>
      </c>
      <c r="D13" s="139">
        <v>0</v>
      </c>
      <c r="E13" s="139">
        <v>125</v>
      </c>
      <c r="F13" s="139">
        <v>1078</v>
      </c>
      <c r="G13" s="139">
        <v>596</v>
      </c>
      <c r="H13" s="139">
        <v>162</v>
      </c>
      <c r="I13" s="139">
        <v>0</v>
      </c>
      <c r="J13" s="139">
        <v>0</v>
      </c>
      <c r="K13" s="139">
        <f aca="true" t="shared" si="7" ref="K13:K22">SUM(C13:J13)</f>
        <v>1962</v>
      </c>
      <c r="L13" s="198">
        <f aca="true" t="shared" si="8" ref="L13:L22">C13/K13*100</f>
        <v>0.05096839959225281</v>
      </c>
      <c r="M13" s="198">
        <f t="shared" si="0"/>
        <v>0</v>
      </c>
      <c r="N13" s="198">
        <f t="shared" si="1"/>
        <v>6.3710499490316</v>
      </c>
      <c r="O13" s="198">
        <f t="shared" si="2"/>
        <v>54.94393476044852</v>
      </c>
      <c r="P13" s="198">
        <f t="shared" si="3"/>
        <v>30.37716615698267</v>
      </c>
      <c r="Q13" s="198">
        <f t="shared" si="4"/>
        <v>8.256880733944955</v>
      </c>
      <c r="R13" s="198">
        <f t="shared" si="5"/>
        <v>0</v>
      </c>
      <c r="S13" s="198">
        <f>J13/K13*100</f>
        <v>0</v>
      </c>
      <c r="T13" s="31">
        <f t="shared" si="6"/>
        <v>100</v>
      </c>
    </row>
    <row r="14" spans="1:20" ht="15">
      <c r="A14" s="138">
        <f>1!A15</f>
        <v>4</v>
      </c>
      <c r="B14" s="30" t="str">
        <f>1!B15</f>
        <v>Kotawaringin Timur</v>
      </c>
      <c r="C14" s="31">
        <v>735</v>
      </c>
      <c r="D14" s="31">
        <v>382</v>
      </c>
      <c r="E14" s="31">
        <v>6047</v>
      </c>
      <c r="F14" s="31">
        <v>21586</v>
      </c>
      <c r="G14" s="31">
        <v>20636</v>
      </c>
      <c r="H14" s="31">
        <v>306</v>
      </c>
      <c r="I14" s="31">
        <v>0</v>
      </c>
      <c r="J14" s="31">
        <v>0</v>
      </c>
      <c r="K14" s="31">
        <f t="shared" si="7"/>
        <v>49692</v>
      </c>
      <c r="L14" s="198">
        <f t="shared" si="8"/>
        <v>1.479111325766723</v>
      </c>
      <c r="M14" s="198">
        <f t="shared" si="0"/>
        <v>0.7687354101263785</v>
      </c>
      <c r="N14" s="198">
        <f t="shared" si="1"/>
        <v>12.168960798518876</v>
      </c>
      <c r="O14" s="198">
        <f t="shared" si="2"/>
        <v>43.43958786122515</v>
      </c>
      <c r="P14" s="198">
        <f t="shared" si="3"/>
        <v>41.52781131771714</v>
      </c>
      <c r="Q14" s="198">
        <f>H14/K14*100</f>
        <v>0.6157932866457377</v>
      </c>
      <c r="R14" s="198">
        <f t="shared" si="5"/>
        <v>0</v>
      </c>
      <c r="S14" s="198">
        <f>J14/K14*100</f>
        <v>0</v>
      </c>
      <c r="T14" s="31">
        <f t="shared" si="6"/>
        <v>100.00000000000001</v>
      </c>
    </row>
    <row r="15" spans="1:20" ht="15">
      <c r="A15" s="138">
        <f>1!A16</f>
        <v>5</v>
      </c>
      <c r="B15" s="30" t="str">
        <f>1!B16</f>
        <v>Seruyan</v>
      </c>
      <c r="C15" s="139">
        <v>66</v>
      </c>
      <c r="D15" s="139">
        <v>31</v>
      </c>
      <c r="E15" s="139">
        <v>1543</v>
      </c>
      <c r="F15" s="139">
        <v>6098</v>
      </c>
      <c r="G15" s="139">
        <v>6965</v>
      </c>
      <c r="H15" s="139">
        <v>677</v>
      </c>
      <c r="I15" s="139">
        <v>0</v>
      </c>
      <c r="J15" s="139">
        <v>0</v>
      </c>
      <c r="K15" s="139">
        <f t="shared" si="7"/>
        <v>15380</v>
      </c>
      <c r="L15" s="198">
        <f t="shared" si="8"/>
        <v>0.42912873862158646</v>
      </c>
      <c r="M15" s="198">
        <f t="shared" si="0"/>
        <v>0.20156046814044215</v>
      </c>
      <c r="N15" s="198">
        <f t="shared" si="1"/>
        <v>10.032509752925877</v>
      </c>
      <c r="O15" s="198">
        <f t="shared" si="2"/>
        <v>39.64889466840052</v>
      </c>
      <c r="P15" s="198">
        <f t="shared" si="3"/>
        <v>45.286085825747726</v>
      </c>
      <c r="Q15" s="198">
        <f t="shared" si="4"/>
        <v>4.401820546163849</v>
      </c>
      <c r="R15" s="198">
        <f t="shared" si="5"/>
        <v>0</v>
      </c>
      <c r="S15" s="198">
        <f aca="true" t="shared" si="9" ref="S15:S24">J15/K15*100</f>
        <v>0</v>
      </c>
      <c r="T15" s="31">
        <f t="shared" si="6"/>
        <v>100</v>
      </c>
    </row>
    <row r="16" spans="1:20" ht="15">
      <c r="A16" s="138">
        <f>1!A17</f>
        <v>6</v>
      </c>
      <c r="B16" s="30" t="str">
        <f>1!B17</f>
        <v>Katingan</v>
      </c>
      <c r="C16" s="139" t="s">
        <v>694</v>
      </c>
      <c r="D16" s="139" t="s">
        <v>694</v>
      </c>
      <c r="E16" s="139" t="s">
        <v>694</v>
      </c>
      <c r="F16" s="139" t="s">
        <v>694</v>
      </c>
      <c r="G16" s="139" t="s">
        <v>694</v>
      </c>
      <c r="H16" s="139" t="s">
        <v>694</v>
      </c>
      <c r="I16" s="139" t="s">
        <v>694</v>
      </c>
      <c r="J16" s="139" t="s">
        <v>694</v>
      </c>
      <c r="K16" s="139" t="s">
        <v>694</v>
      </c>
      <c r="L16" s="139" t="s">
        <v>694</v>
      </c>
      <c r="M16" s="139" t="s">
        <v>694</v>
      </c>
      <c r="N16" s="139" t="s">
        <v>694</v>
      </c>
      <c r="O16" s="139" t="s">
        <v>694</v>
      </c>
      <c r="P16" s="139" t="s">
        <v>694</v>
      </c>
      <c r="Q16" s="139" t="s">
        <v>694</v>
      </c>
      <c r="R16" s="139" t="s">
        <v>694</v>
      </c>
      <c r="S16" s="139" t="s">
        <v>694</v>
      </c>
      <c r="T16" s="139" t="s">
        <v>694</v>
      </c>
    </row>
    <row r="17" spans="1:20" ht="15">
      <c r="A17" s="138">
        <f>1!A18</f>
        <v>7</v>
      </c>
      <c r="B17" s="30" t="str">
        <f>1!B18</f>
        <v>Kapuas</v>
      </c>
      <c r="C17" s="139">
        <v>1852</v>
      </c>
      <c r="D17" s="139">
        <v>1534</v>
      </c>
      <c r="E17" s="139">
        <v>6508</v>
      </c>
      <c r="F17" s="139">
        <v>23401</v>
      </c>
      <c r="G17" s="139">
        <v>22674</v>
      </c>
      <c r="H17" s="139">
        <v>830</v>
      </c>
      <c r="I17" s="139"/>
      <c r="J17" s="139"/>
      <c r="K17" s="139">
        <f t="shared" si="7"/>
        <v>56799</v>
      </c>
      <c r="L17" s="198">
        <f t="shared" si="8"/>
        <v>3.260620785577211</v>
      </c>
      <c r="M17" s="198">
        <f t="shared" si="0"/>
        <v>2.7007517737988347</v>
      </c>
      <c r="N17" s="198">
        <f t="shared" si="1"/>
        <v>11.457948203313437</v>
      </c>
      <c r="O17" s="198">
        <f t="shared" si="2"/>
        <v>41.19966900825719</v>
      </c>
      <c r="P17" s="198">
        <f t="shared" si="3"/>
        <v>39.919716896424234</v>
      </c>
      <c r="Q17" s="198">
        <f t="shared" si="4"/>
        <v>1.4612933326290956</v>
      </c>
      <c r="R17" s="198">
        <f t="shared" si="5"/>
        <v>0</v>
      </c>
      <c r="S17" s="198">
        <f t="shared" si="9"/>
        <v>0</v>
      </c>
      <c r="T17" s="31">
        <f t="shared" si="6"/>
        <v>100</v>
      </c>
    </row>
    <row r="18" spans="1:20" ht="15">
      <c r="A18" s="138">
        <f>1!A19</f>
        <v>8</v>
      </c>
      <c r="B18" s="30" t="str">
        <f>1!B19</f>
        <v>Pulang Pisau</v>
      </c>
      <c r="C18" s="31">
        <v>418</v>
      </c>
      <c r="D18" s="31">
        <v>31</v>
      </c>
      <c r="E18" s="31">
        <v>875</v>
      </c>
      <c r="F18" s="31">
        <v>5603</v>
      </c>
      <c r="G18" s="31">
        <v>5278</v>
      </c>
      <c r="H18" s="31">
        <v>135</v>
      </c>
      <c r="I18" s="31">
        <v>0</v>
      </c>
      <c r="J18" s="31">
        <v>0</v>
      </c>
      <c r="K18" s="31">
        <f t="shared" si="7"/>
        <v>12340</v>
      </c>
      <c r="L18" s="198">
        <f t="shared" si="8"/>
        <v>3.387358184764992</v>
      </c>
      <c r="M18" s="198">
        <f t="shared" si="0"/>
        <v>0.25121555915721233</v>
      </c>
      <c r="N18" s="198">
        <f t="shared" si="1"/>
        <v>7.0907617504051865</v>
      </c>
      <c r="O18" s="198">
        <f t="shared" si="2"/>
        <v>45.40518638573744</v>
      </c>
      <c r="P18" s="198">
        <f t="shared" si="3"/>
        <v>42.77147487844408</v>
      </c>
      <c r="Q18" s="198">
        <f t="shared" si="4"/>
        <v>1.094003241491086</v>
      </c>
      <c r="R18" s="198">
        <f t="shared" si="5"/>
        <v>0</v>
      </c>
      <c r="S18" s="198">
        <f t="shared" si="9"/>
        <v>0</v>
      </c>
      <c r="T18" s="31">
        <f t="shared" si="6"/>
        <v>99.99999999999999</v>
      </c>
    </row>
    <row r="19" spans="1:20" ht="15">
      <c r="A19" s="138">
        <f>1!A20</f>
        <v>9</v>
      </c>
      <c r="B19" s="30" t="str">
        <f>1!B20</f>
        <v>Gunung Mas</v>
      </c>
      <c r="C19" s="139">
        <v>20</v>
      </c>
      <c r="D19" s="139">
        <v>23</v>
      </c>
      <c r="E19" s="139">
        <v>402</v>
      </c>
      <c r="F19" s="139">
        <v>6864</v>
      </c>
      <c r="G19" s="139">
        <v>2057</v>
      </c>
      <c r="H19" s="139">
        <v>147</v>
      </c>
      <c r="I19" s="139">
        <v>0</v>
      </c>
      <c r="J19" s="139">
        <v>0</v>
      </c>
      <c r="K19" s="139">
        <f t="shared" si="7"/>
        <v>9513</v>
      </c>
      <c r="L19" s="198">
        <f t="shared" si="8"/>
        <v>0.21023862083464734</v>
      </c>
      <c r="M19" s="198">
        <f t="shared" si="0"/>
        <v>0.24177441395984442</v>
      </c>
      <c r="N19" s="198">
        <f t="shared" si="1"/>
        <v>4.225796278776412</v>
      </c>
      <c r="O19" s="198">
        <f t="shared" si="2"/>
        <v>72.15389467045095</v>
      </c>
      <c r="P19" s="198">
        <f t="shared" si="3"/>
        <v>21.623042152843478</v>
      </c>
      <c r="Q19" s="198">
        <f t="shared" si="4"/>
        <v>1.545253863134658</v>
      </c>
      <c r="R19" s="198">
        <f t="shared" si="5"/>
        <v>0</v>
      </c>
      <c r="S19" s="198">
        <f t="shared" si="9"/>
        <v>0</v>
      </c>
      <c r="T19" s="31">
        <f t="shared" si="6"/>
        <v>100</v>
      </c>
    </row>
    <row r="20" spans="1:20" ht="15">
      <c r="A20" s="138">
        <f>1!A21</f>
        <v>10</v>
      </c>
      <c r="B20" s="30" t="str">
        <f>1!B21</f>
        <v>Barito Selatan</v>
      </c>
      <c r="C20" s="139">
        <v>159</v>
      </c>
      <c r="D20" s="139">
        <v>89</v>
      </c>
      <c r="E20" s="139">
        <v>2352</v>
      </c>
      <c r="F20" s="139">
        <v>6375</v>
      </c>
      <c r="G20" s="139">
        <v>10638</v>
      </c>
      <c r="H20" s="139">
        <v>77</v>
      </c>
      <c r="I20" s="139">
        <v>0</v>
      </c>
      <c r="J20" s="139">
        <v>0</v>
      </c>
      <c r="K20" s="139">
        <f t="shared" si="7"/>
        <v>19690</v>
      </c>
      <c r="L20" s="141">
        <f t="shared" si="8"/>
        <v>0.8075165058405281</v>
      </c>
      <c r="M20" s="141">
        <f t="shared" si="0"/>
        <v>0.452006094464195</v>
      </c>
      <c r="N20" s="141">
        <f t="shared" si="1"/>
        <v>11.945149822244794</v>
      </c>
      <c r="O20" s="141">
        <f t="shared" si="2"/>
        <v>32.37684103605891</v>
      </c>
      <c r="P20" s="141">
        <f t="shared" si="3"/>
        <v>54.0274250888776</v>
      </c>
      <c r="Q20" s="141">
        <f t="shared" si="4"/>
        <v>0.3910614525139665</v>
      </c>
      <c r="R20" s="141">
        <f t="shared" si="5"/>
        <v>0</v>
      </c>
      <c r="S20" s="141">
        <f t="shared" si="9"/>
        <v>0</v>
      </c>
      <c r="T20" s="139">
        <f t="shared" si="6"/>
        <v>99.99999999999999</v>
      </c>
    </row>
    <row r="21" spans="1:20" ht="15">
      <c r="A21" s="138">
        <f>1!A22</f>
        <v>11</v>
      </c>
      <c r="B21" s="30" t="str">
        <f>1!B22</f>
        <v>Barito Timur</v>
      </c>
      <c r="C21" s="139">
        <v>253</v>
      </c>
      <c r="D21" s="139">
        <v>436</v>
      </c>
      <c r="E21" s="139">
        <v>1501</v>
      </c>
      <c r="F21" s="139">
        <v>4245</v>
      </c>
      <c r="G21" s="139">
        <v>5395</v>
      </c>
      <c r="H21" s="139">
        <v>65</v>
      </c>
      <c r="I21" s="139">
        <v>0</v>
      </c>
      <c r="J21" s="139">
        <v>0</v>
      </c>
      <c r="K21" s="139">
        <f t="shared" si="7"/>
        <v>11895</v>
      </c>
      <c r="L21" s="198">
        <f t="shared" si="8"/>
        <v>2.1269440941572086</v>
      </c>
      <c r="M21" s="198">
        <f t="shared" si="0"/>
        <v>3.665405632618748</v>
      </c>
      <c r="N21" s="198">
        <f t="shared" si="1"/>
        <v>12.618747372845734</v>
      </c>
      <c r="O21" s="198">
        <f t="shared" si="2"/>
        <v>35.687263556116015</v>
      </c>
      <c r="P21" s="198">
        <f t="shared" si="3"/>
        <v>45.3551912568306</v>
      </c>
      <c r="Q21" s="198">
        <f t="shared" si="4"/>
        <v>0.546448087431694</v>
      </c>
      <c r="R21" s="198">
        <f t="shared" si="5"/>
        <v>0</v>
      </c>
      <c r="S21" s="198">
        <f t="shared" si="9"/>
        <v>0</v>
      </c>
      <c r="T21" s="31">
        <f t="shared" si="6"/>
        <v>100.00000000000001</v>
      </c>
    </row>
    <row r="22" spans="1:20" ht="15">
      <c r="A22" s="138">
        <f>1!A23</f>
        <v>12</v>
      </c>
      <c r="B22" s="30" t="str">
        <f>1!B23</f>
        <v>Barito Utara</v>
      </c>
      <c r="C22" s="139">
        <v>148</v>
      </c>
      <c r="D22" s="139">
        <v>180</v>
      </c>
      <c r="E22" s="139">
        <v>1122</v>
      </c>
      <c r="F22" s="139">
        <v>9642</v>
      </c>
      <c r="G22" s="139">
        <v>10128</v>
      </c>
      <c r="H22" s="139">
        <v>180</v>
      </c>
      <c r="I22" s="139">
        <v>0</v>
      </c>
      <c r="J22" s="139">
        <v>0</v>
      </c>
      <c r="K22" s="139">
        <f t="shared" si="7"/>
        <v>21400</v>
      </c>
      <c r="L22" s="198">
        <f t="shared" si="8"/>
        <v>0.6915887850467289</v>
      </c>
      <c r="M22" s="198">
        <f t="shared" si="0"/>
        <v>0.8411214953271028</v>
      </c>
      <c r="N22" s="198">
        <f t="shared" si="1"/>
        <v>5.242990654205607</v>
      </c>
      <c r="O22" s="198">
        <f t="shared" si="2"/>
        <v>45.056074766355145</v>
      </c>
      <c r="P22" s="198">
        <f t="shared" si="3"/>
        <v>47.32710280373832</v>
      </c>
      <c r="Q22" s="198">
        <f t="shared" si="4"/>
        <v>0.8411214953271028</v>
      </c>
      <c r="R22" s="198">
        <f t="shared" si="5"/>
        <v>0</v>
      </c>
      <c r="S22" s="198">
        <f t="shared" si="9"/>
        <v>0</v>
      </c>
      <c r="T22" s="31">
        <f t="shared" si="6"/>
        <v>100.00000000000001</v>
      </c>
    </row>
    <row r="23" spans="1:20" ht="15">
      <c r="A23" s="138">
        <f>1!A24</f>
        <v>13</v>
      </c>
      <c r="B23" s="30" t="str">
        <f>1!B24</f>
        <v>Murung Raya</v>
      </c>
      <c r="C23" s="31">
        <v>176</v>
      </c>
      <c r="D23" s="31">
        <v>48</v>
      </c>
      <c r="E23" s="31">
        <v>734</v>
      </c>
      <c r="F23" s="31">
        <v>7454</v>
      </c>
      <c r="G23" s="31">
        <v>7060</v>
      </c>
      <c r="H23" s="31">
        <v>191</v>
      </c>
      <c r="I23" s="31">
        <v>0</v>
      </c>
      <c r="J23" s="31">
        <v>0</v>
      </c>
      <c r="K23" s="31">
        <f>SUM(C23:J23)</f>
        <v>15663</v>
      </c>
      <c r="L23" s="198">
        <f>C23/K23*100</f>
        <v>1.1236672412692332</v>
      </c>
      <c r="M23" s="198">
        <f>D23/K23*100</f>
        <v>0.30645470216433635</v>
      </c>
      <c r="N23" s="198">
        <f>E23/K23*100</f>
        <v>4.686203153929643</v>
      </c>
      <c r="O23" s="198">
        <f>F23/K23*100</f>
        <v>47.589861456936724</v>
      </c>
      <c r="P23" s="198">
        <f>G23/K23*100</f>
        <v>45.07437911000447</v>
      </c>
      <c r="Q23" s="198">
        <f>H23/K23*100</f>
        <v>1.2194343356955883</v>
      </c>
      <c r="R23" s="198">
        <f>I23/K23*100</f>
        <v>0</v>
      </c>
      <c r="S23" s="198">
        <f t="shared" si="9"/>
        <v>0</v>
      </c>
      <c r="T23" s="31">
        <f>SUM(L23:S23)</f>
        <v>100</v>
      </c>
    </row>
    <row r="24" spans="1:20" ht="15">
      <c r="A24" s="138">
        <f>1!A25</f>
        <v>14</v>
      </c>
      <c r="B24" s="30" t="str">
        <f>1!B25</f>
        <v>Palangka Raya</v>
      </c>
      <c r="C24" s="31">
        <v>64</v>
      </c>
      <c r="D24" s="31">
        <v>26</v>
      </c>
      <c r="E24" s="31">
        <v>86</v>
      </c>
      <c r="F24" s="31">
        <v>8954</v>
      </c>
      <c r="G24" s="31">
        <v>9042</v>
      </c>
      <c r="H24" s="31">
        <v>534</v>
      </c>
      <c r="I24" s="31">
        <v>0</v>
      </c>
      <c r="J24" s="31">
        <v>0</v>
      </c>
      <c r="K24" s="31">
        <f>SUM(C24:J24)</f>
        <v>18706</v>
      </c>
      <c r="L24" s="198">
        <f>C24/K24*100</f>
        <v>0.3421362129797926</v>
      </c>
      <c r="M24" s="198">
        <f>D24/K24*100</f>
        <v>0.13899283652304076</v>
      </c>
      <c r="N24" s="198">
        <f>E24/K24*100</f>
        <v>0.4597455361915963</v>
      </c>
      <c r="O24" s="198">
        <f>F24/K24*100</f>
        <v>47.86699454720411</v>
      </c>
      <c r="P24" s="198">
        <f>G24/K24*100</f>
        <v>48.33743184005132</v>
      </c>
      <c r="Q24" s="198">
        <f>H24/K24*100</f>
        <v>2.854699027050144</v>
      </c>
      <c r="R24" s="198">
        <f>I24/K24*100</f>
        <v>0</v>
      </c>
      <c r="S24" s="198">
        <f t="shared" si="9"/>
        <v>0</v>
      </c>
      <c r="T24" s="31">
        <f>SUM(L24:S24)</f>
        <v>100</v>
      </c>
    </row>
    <row r="25" spans="1:20" ht="15">
      <c r="A25" s="158"/>
      <c r="B25" s="35"/>
      <c r="C25" s="36"/>
      <c r="D25" s="36"/>
      <c r="E25" s="36"/>
      <c r="F25" s="36"/>
      <c r="G25" s="36"/>
      <c r="H25" s="36"/>
      <c r="I25" s="36"/>
      <c r="J25" s="36"/>
      <c r="K25" s="31"/>
      <c r="L25" s="198"/>
      <c r="M25" s="199"/>
      <c r="N25" s="199"/>
      <c r="O25" s="199"/>
      <c r="P25" s="199"/>
      <c r="Q25" s="199"/>
      <c r="R25" s="199"/>
      <c r="S25" s="199"/>
      <c r="T25" s="31"/>
    </row>
    <row r="26" spans="1:20" ht="15.75" thickBot="1">
      <c r="A26" s="165" t="s">
        <v>859</v>
      </c>
      <c r="B26" s="70"/>
      <c r="C26" s="41">
        <f aca="true" t="shared" si="10" ref="C26:S26">SUM(C11:C25)</f>
        <v>4460</v>
      </c>
      <c r="D26" s="41">
        <f t="shared" si="10"/>
        <v>3222</v>
      </c>
      <c r="E26" s="41">
        <f t="shared" si="10"/>
        <v>25170</v>
      </c>
      <c r="F26" s="41">
        <f t="shared" si="10"/>
        <v>123320</v>
      </c>
      <c r="G26" s="41">
        <f t="shared" si="10"/>
        <v>117134</v>
      </c>
      <c r="H26" s="41">
        <f t="shared" si="10"/>
        <v>4290</v>
      </c>
      <c r="I26" s="41">
        <f t="shared" si="10"/>
        <v>0</v>
      </c>
      <c r="J26" s="41">
        <f t="shared" si="10"/>
        <v>0</v>
      </c>
      <c r="K26" s="41">
        <f t="shared" si="10"/>
        <v>277596</v>
      </c>
      <c r="L26" s="200">
        <f t="shared" si="10"/>
        <v>15.59528916486558</v>
      </c>
      <c r="M26" s="200">
        <f t="shared" si="10"/>
        <v>10.917422398774995</v>
      </c>
      <c r="N26" s="200">
        <f t="shared" si="10"/>
        <v>108.62408683085356</v>
      </c>
      <c r="O26" s="200">
        <f t="shared" si="10"/>
        <v>602.7914424927807</v>
      </c>
      <c r="P26" s="200">
        <f t="shared" si="10"/>
        <v>533.3051978206759</v>
      </c>
      <c r="Q26" s="200">
        <f t="shared" si="10"/>
        <v>28.766561292049307</v>
      </c>
      <c r="R26" s="200">
        <f t="shared" si="10"/>
        <v>0</v>
      </c>
      <c r="S26" s="200">
        <f t="shared" si="10"/>
        <v>0</v>
      </c>
      <c r="T26" s="41">
        <f>SUM(L26:S26)</f>
        <v>1300</v>
      </c>
    </row>
    <row r="27" spans="1:20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11" ht="15">
      <c r="A28" s="525" t="s">
        <v>243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20" ht="15">
      <c r="A29" s="18" t="s">
        <v>694</v>
      </c>
      <c r="B29" s="754" t="s">
        <v>965</v>
      </c>
      <c r="C29" s="18"/>
      <c r="D29" s="18"/>
      <c r="E29" s="18"/>
      <c r="F29" s="18"/>
      <c r="G29" s="18"/>
      <c r="H29" s="18"/>
      <c r="I29" s="18"/>
      <c r="J29" s="18"/>
      <c r="K29" s="18"/>
      <c r="T29" s="511"/>
    </row>
  </sheetData>
  <mergeCells count="6">
    <mergeCell ref="A4:T4"/>
    <mergeCell ref="A5:T5"/>
    <mergeCell ref="K8:K9"/>
    <mergeCell ref="T8:T9"/>
    <mergeCell ref="A7:A9"/>
    <mergeCell ref="B7:B9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55" r:id="rId1"/>
  <headerFooter alignWithMargins="0">
    <oddFooter>&amp;C77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T30"/>
  <sheetViews>
    <sheetView view="pageBreakPreview" zoomScale="60" zoomScaleNormal="75" workbookViewId="0" topLeftCell="A1">
      <selection activeCell="B31" sqref="B31"/>
    </sheetView>
  </sheetViews>
  <sheetFormatPr defaultColWidth="9.140625" defaultRowHeight="12.75"/>
  <cols>
    <col min="1" max="1" width="5.7109375" style="14" customWidth="1"/>
    <col min="2" max="2" width="21.7109375" style="14" customWidth="1"/>
    <col min="3" max="4" width="8.7109375" style="14" customWidth="1"/>
    <col min="5" max="5" width="9.7109375" style="14" customWidth="1"/>
    <col min="6" max="7" width="10.421875" style="14" customWidth="1"/>
    <col min="8" max="8" width="9.7109375" style="14" customWidth="1"/>
    <col min="9" max="10" width="8.7109375" style="14" customWidth="1"/>
    <col min="11" max="11" width="10.57421875" style="14" customWidth="1"/>
    <col min="12" max="13" width="8.7109375" style="14" customWidth="1"/>
    <col min="14" max="15" width="9.421875" style="14" customWidth="1"/>
    <col min="16" max="16" width="9.7109375" style="14" customWidth="1"/>
    <col min="17" max="17" width="9.421875" style="14" customWidth="1"/>
    <col min="18" max="19" width="8.7109375" style="14" customWidth="1"/>
    <col min="20" max="20" width="9.421875" style="14" customWidth="1"/>
    <col min="21" max="16384" width="9.140625" style="14" customWidth="1"/>
  </cols>
  <sheetData>
    <row r="1" ht="15">
      <c r="A1" s="13" t="s">
        <v>478</v>
      </c>
    </row>
    <row r="3" spans="1:20" ht="15">
      <c r="A3" s="641" t="s">
        <v>865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</row>
    <row r="4" spans="1:20" ht="15">
      <c r="A4" s="642" t="str">
        <f>1!A5</f>
        <v>PROVINSI KALIMANTAN TENGAH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</row>
    <row r="5" spans="1:20" ht="15">
      <c r="A5" s="642" t="str">
        <f>1!A6</f>
        <v>TAHUN 2009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</row>
    <row r="6" spans="1:20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18" ht="15.75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20" ht="19.5" customHeight="1">
      <c r="A8" s="634" t="s">
        <v>2</v>
      </c>
      <c r="B8" s="637" t="s">
        <v>3</v>
      </c>
      <c r="C8" s="44" t="s">
        <v>275</v>
      </c>
      <c r="D8" s="44"/>
      <c r="E8" s="44"/>
      <c r="F8" s="44"/>
      <c r="G8" s="44"/>
      <c r="H8" s="44"/>
      <c r="I8" s="44"/>
      <c r="J8" s="44"/>
      <c r="K8" s="44"/>
      <c r="L8" s="44" t="s">
        <v>274</v>
      </c>
      <c r="M8" s="44"/>
      <c r="N8" s="44"/>
      <c r="O8" s="44"/>
      <c r="P8" s="44"/>
      <c r="Q8" s="44"/>
      <c r="R8" s="44"/>
      <c r="S8" s="44"/>
      <c r="T8" s="44"/>
    </row>
    <row r="9" spans="1:20" ht="18" customHeight="1">
      <c r="A9" s="635"/>
      <c r="B9" s="638"/>
      <c r="C9" s="194" t="s">
        <v>146</v>
      </c>
      <c r="D9" s="194"/>
      <c r="E9" s="194"/>
      <c r="F9" s="194" t="s">
        <v>147</v>
      </c>
      <c r="G9" s="194"/>
      <c r="H9" s="194"/>
      <c r="I9" s="194"/>
      <c r="J9" s="194"/>
      <c r="K9" s="557" t="s">
        <v>148</v>
      </c>
      <c r="L9" s="194" t="s">
        <v>146</v>
      </c>
      <c r="M9" s="194"/>
      <c r="N9" s="194"/>
      <c r="O9" s="194" t="s">
        <v>147</v>
      </c>
      <c r="P9" s="194"/>
      <c r="Q9" s="194"/>
      <c r="R9" s="194"/>
      <c r="S9" s="195"/>
      <c r="T9" s="557" t="s">
        <v>148</v>
      </c>
    </row>
    <row r="10" spans="1:20" ht="30">
      <c r="A10" s="636"/>
      <c r="B10" s="639"/>
      <c r="C10" s="124" t="s">
        <v>149</v>
      </c>
      <c r="D10" s="124" t="s">
        <v>150</v>
      </c>
      <c r="E10" s="124" t="s">
        <v>151</v>
      </c>
      <c r="F10" s="124" t="s">
        <v>152</v>
      </c>
      <c r="G10" s="124" t="s">
        <v>153</v>
      </c>
      <c r="H10" s="201" t="s">
        <v>154</v>
      </c>
      <c r="I10" s="201" t="s">
        <v>155</v>
      </c>
      <c r="J10" s="124" t="s">
        <v>276</v>
      </c>
      <c r="K10" s="616"/>
      <c r="L10" s="124" t="s">
        <v>149</v>
      </c>
      <c r="M10" s="124" t="s">
        <v>150</v>
      </c>
      <c r="N10" s="124" t="s">
        <v>151</v>
      </c>
      <c r="O10" s="124" t="s">
        <v>152</v>
      </c>
      <c r="P10" s="124" t="s">
        <v>153</v>
      </c>
      <c r="Q10" s="201" t="s">
        <v>154</v>
      </c>
      <c r="R10" s="201" t="s">
        <v>155</v>
      </c>
      <c r="S10" s="124" t="s">
        <v>276</v>
      </c>
      <c r="T10" s="616"/>
    </row>
    <row r="11" spans="1:20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</row>
    <row r="12" spans="1:20" ht="15">
      <c r="A12" s="138">
        <f>1!A12</f>
        <v>1</v>
      </c>
      <c r="B12" s="30" t="str">
        <f>1!B12</f>
        <v>Kotawaringin Barat</v>
      </c>
      <c r="C12" s="196">
        <v>76</v>
      </c>
      <c r="D12" s="196">
        <v>91</v>
      </c>
      <c r="E12" s="196">
        <v>374</v>
      </c>
      <c r="F12" s="196">
        <v>4798</v>
      </c>
      <c r="G12" s="196">
        <v>1359</v>
      </c>
      <c r="H12" s="196">
        <v>524</v>
      </c>
      <c r="I12" s="196">
        <v>0</v>
      </c>
      <c r="J12" s="196">
        <v>0</v>
      </c>
      <c r="K12" s="196">
        <f>SUM(C12:J12)</f>
        <v>7222</v>
      </c>
      <c r="L12" s="197">
        <f>C12/$K12*100</f>
        <v>1.0523400720022156</v>
      </c>
      <c r="M12" s="197">
        <f aca="true" t="shared" si="0" ref="M12:S12">D12/$K12*100</f>
        <v>1.2600387704237053</v>
      </c>
      <c r="N12" s="197">
        <f t="shared" si="0"/>
        <v>5.178620880642482</v>
      </c>
      <c r="O12" s="197">
        <f t="shared" si="0"/>
        <v>66.43589033508724</v>
      </c>
      <c r="P12" s="197">
        <f t="shared" si="0"/>
        <v>18.817502076986983</v>
      </c>
      <c r="Q12" s="197">
        <f t="shared" si="0"/>
        <v>7.25560786485738</v>
      </c>
      <c r="R12" s="197">
        <f t="shared" si="0"/>
        <v>0</v>
      </c>
      <c r="S12" s="197">
        <f t="shared" si="0"/>
        <v>0</v>
      </c>
      <c r="T12" s="508">
        <f>SUM(L12:S12)</f>
        <v>100</v>
      </c>
    </row>
    <row r="13" spans="1:20" ht="15">
      <c r="A13" s="138">
        <f>1!A13</f>
        <v>2</v>
      </c>
      <c r="B13" s="30" t="str">
        <f>1!B13</f>
        <v>Lamandau</v>
      </c>
      <c r="C13" s="31">
        <v>1</v>
      </c>
      <c r="D13" s="31">
        <v>6</v>
      </c>
      <c r="E13" s="31">
        <v>55</v>
      </c>
      <c r="F13" s="31">
        <v>559</v>
      </c>
      <c r="G13" s="31">
        <v>471</v>
      </c>
      <c r="H13" s="31">
        <v>19</v>
      </c>
      <c r="I13" s="31">
        <f>0</f>
        <v>0</v>
      </c>
      <c r="J13" s="31">
        <f>0</f>
        <v>0</v>
      </c>
      <c r="K13" s="31">
        <f aca="true" t="shared" si="1" ref="K13:K24">SUM(C13:J13)</f>
        <v>1111</v>
      </c>
      <c r="L13" s="198">
        <f>C13/$K13*100</f>
        <v>0.09000900090009001</v>
      </c>
      <c r="M13" s="198">
        <f>D13/$K13*100</f>
        <v>0.54005400540054</v>
      </c>
      <c r="N13" s="198">
        <f aca="true" t="shared" si="2" ref="N13:N24">E13/$K13*100</f>
        <v>4.9504950495049505</v>
      </c>
      <c r="O13" s="198">
        <f aca="true" t="shared" si="3" ref="O13:O24">F13/$K13*100</f>
        <v>50.31503150315032</v>
      </c>
      <c r="P13" s="198">
        <f aca="true" t="shared" si="4" ref="P13:P24">G13/$K13*100</f>
        <v>42.394239423942395</v>
      </c>
      <c r="Q13" s="198">
        <f aca="true" t="shared" si="5" ref="Q13:Q24">H13/$K13*100</f>
        <v>1.7101710171017102</v>
      </c>
      <c r="R13" s="198">
        <f aca="true" t="shared" si="6" ref="R13:R24">I13/$K13*100</f>
        <v>0</v>
      </c>
      <c r="S13" s="198">
        <f aca="true" t="shared" si="7" ref="S13:S24">J13/$K13*100</f>
        <v>0</v>
      </c>
      <c r="T13" s="30">
        <f>SUM(L13:S13)</f>
        <v>100.00000000000001</v>
      </c>
    </row>
    <row r="14" spans="1:20" ht="15">
      <c r="A14" s="138">
        <f>1!A14</f>
        <v>3</v>
      </c>
      <c r="B14" s="30" t="str">
        <f>1!B14</f>
        <v>Sukamara</v>
      </c>
      <c r="C14" s="139">
        <v>1</v>
      </c>
      <c r="D14" s="139">
        <v>0</v>
      </c>
      <c r="E14" s="139">
        <v>345</v>
      </c>
      <c r="F14" s="139">
        <v>3635</v>
      </c>
      <c r="G14" s="139">
        <v>2760</v>
      </c>
      <c r="H14" s="139">
        <v>340</v>
      </c>
      <c r="I14" s="139">
        <v>0</v>
      </c>
      <c r="J14" s="139">
        <v>0</v>
      </c>
      <c r="K14" s="139">
        <f t="shared" si="1"/>
        <v>7081</v>
      </c>
      <c r="L14" s="198">
        <f aca="true" t="shared" si="8" ref="L14:L24">C14/$K14*100</f>
        <v>0.014122299110295156</v>
      </c>
      <c r="M14" s="198">
        <f aca="true" t="shared" si="9" ref="M14:M24">D14/$K14*100</f>
        <v>0</v>
      </c>
      <c r="N14" s="198">
        <f t="shared" si="2"/>
        <v>4.872193193051829</v>
      </c>
      <c r="O14" s="198">
        <f t="shared" si="3"/>
        <v>51.334557265922896</v>
      </c>
      <c r="P14" s="198">
        <f t="shared" si="4"/>
        <v>38.97754554441463</v>
      </c>
      <c r="Q14" s="198">
        <f t="shared" si="5"/>
        <v>4.801581697500353</v>
      </c>
      <c r="R14" s="198">
        <f t="shared" si="6"/>
        <v>0</v>
      </c>
      <c r="S14" s="198">
        <f t="shared" si="7"/>
        <v>0</v>
      </c>
      <c r="T14" s="30">
        <f aca="true" t="shared" si="10" ref="T14:T24">SUM(L14:S14)</f>
        <v>100</v>
      </c>
    </row>
    <row r="15" spans="1:20" ht="15">
      <c r="A15" s="138">
        <f>1!A15</f>
        <v>4</v>
      </c>
      <c r="B15" s="30" t="str">
        <f>1!B15</f>
        <v>Kotawaringin Timur</v>
      </c>
      <c r="C15" s="31">
        <v>34</v>
      </c>
      <c r="D15" s="31">
        <v>64</v>
      </c>
      <c r="E15" s="31">
        <v>709</v>
      </c>
      <c r="F15" s="31">
        <v>5905</v>
      </c>
      <c r="G15" s="31">
        <v>3636</v>
      </c>
      <c r="H15" s="31">
        <v>136</v>
      </c>
      <c r="I15" s="31">
        <v>0</v>
      </c>
      <c r="J15" s="31">
        <v>0</v>
      </c>
      <c r="K15" s="31">
        <f t="shared" si="1"/>
        <v>10484</v>
      </c>
      <c r="L15" s="198">
        <f t="shared" si="8"/>
        <v>0.3243037008775277</v>
      </c>
      <c r="M15" s="198">
        <f t="shared" si="9"/>
        <v>0.6104540251812286</v>
      </c>
      <c r="N15" s="198">
        <f t="shared" si="2"/>
        <v>6.762685997710798</v>
      </c>
      <c r="O15" s="198">
        <f t="shared" si="3"/>
        <v>56.32392216711178</v>
      </c>
      <c r="P15" s="198">
        <f t="shared" si="4"/>
        <v>34.68141930560854</v>
      </c>
      <c r="Q15" s="198">
        <f t="shared" si="5"/>
        <v>1.2972148035101108</v>
      </c>
      <c r="R15" s="198">
        <f t="shared" si="6"/>
        <v>0</v>
      </c>
      <c r="S15" s="198">
        <f t="shared" si="7"/>
        <v>0</v>
      </c>
      <c r="T15" s="30">
        <f t="shared" si="10"/>
        <v>100</v>
      </c>
    </row>
    <row r="16" spans="1:20" ht="15">
      <c r="A16" s="138">
        <f>1!A16</f>
        <v>5</v>
      </c>
      <c r="B16" s="30" t="str">
        <f>1!B16</f>
        <v>Seruyan</v>
      </c>
      <c r="C16" s="31">
        <v>0</v>
      </c>
      <c r="D16" s="31">
        <v>0</v>
      </c>
      <c r="E16" s="31">
        <v>414</v>
      </c>
      <c r="F16" s="31">
        <v>1617</v>
      </c>
      <c r="G16" s="31">
        <v>1055</v>
      </c>
      <c r="H16" s="31">
        <v>412</v>
      </c>
      <c r="I16" s="31">
        <v>0</v>
      </c>
      <c r="J16" s="31">
        <v>0</v>
      </c>
      <c r="K16" s="31">
        <f t="shared" si="1"/>
        <v>3498</v>
      </c>
      <c r="L16" s="198">
        <f t="shared" si="8"/>
        <v>0</v>
      </c>
      <c r="M16" s="198">
        <f t="shared" si="9"/>
        <v>0</v>
      </c>
      <c r="N16" s="198">
        <f t="shared" si="2"/>
        <v>11.83533447684391</v>
      </c>
      <c r="O16" s="198">
        <f t="shared" si="3"/>
        <v>46.22641509433962</v>
      </c>
      <c r="P16" s="198">
        <f t="shared" si="4"/>
        <v>30.160091480846198</v>
      </c>
      <c r="Q16" s="198">
        <f t="shared" si="5"/>
        <v>11.778158947970269</v>
      </c>
      <c r="R16" s="198">
        <f t="shared" si="6"/>
        <v>0</v>
      </c>
      <c r="S16" s="198">
        <f t="shared" si="7"/>
        <v>0</v>
      </c>
      <c r="T16" s="30">
        <f t="shared" si="10"/>
        <v>100</v>
      </c>
    </row>
    <row r="17" spans="1:20" ht="15">
      <c r="A17" s="138">
        <f>1!A17</f>
        <v>6</v>
      </c>
      <c r="B17" s="30" t="str">
        <f>1!B17</f>
        <v>Katingan</v>
      </c>
      <c r="C17" s="607" t="s">
        <v>694</v>
      </c>
      <c r="D17" s="607" t="s">
        <v>694</v>
      </c>
      <c r="E17" s="607" t="s">
        <v>694</v>
      </c>
      <c r="F17" s="607" t="s">
        <v>694</v>
      </c>
      <c r="G17" s="607" t="s">
        <v>694</v>
      </c>
      <c r="H17" s="607" t="s">
        <v>694</v>
      </c>
      <c r="I17" s="607" t="s">
        <v>694</v>
      </c>
      <c r="J17" s="607" t="s">
        <v>694</v>
      </c>
      <c r="K17" s="607" t="s">
        <v>694</v>
      </c>
      <c r="L17" s="607" t="s">
        <v>694</v>
      </c>
      <c r="M17" s="607" t="s">
        <v>694</v>
      </c>
      <c r="N17" s="607" t="s">
        <v>694</v>
      </c>
      <c r="O17" s="607" t="s">
        <v>694</v>
      </c>
      <c r="P17" s="607" t="s">
        <v>694</v>
      </c>
      <c r="Q17" s="607" t="s">
        <v>694</v>
      </c>
      <c r="R17" s="607" t="s">
        <v>694</v>
      </c>
      <c r="S17" s="607" t="s">
        <v>694</v>
      </c>
      <c r="T17" s="607" t="s">
        <v>694</v>
      </c>
    </row>
    <row r="18" spans="1:20" ht="15">
      <c r="A18" s="138">
        <f>1!A18</f>
        <v>7</v>
      </c>
      <c r="B18" s="30" t="str">
        <f>1!B18</f>
        <v>Kapuas</v>
      </c>
      <c r="C18" s="139">
        <v>101</v>
      </c>
      <c r="D18" s="139">
        <v>11</v>
      </c>
      <c r="E18" s="139">
        <v>293</v>
      </c>
      <c r="F18" s="139">
        <v>7007</v>
      </c>
      <c r="G18" s="139">
        <v>5817</v>
      </c>
      <c r="H18" s="139">
        <v>261</v>
      </c>
      <c r="I18" s="139"/>
      <c r="J18" s="139"/>
      <c r="K18" s="139">
        <f t="shared" si="1"/>
        <v>13490</v>
      </c>
      <c r="L18" s="198">
        <f t="shared" si="8"/>
        <v>0.748702742772424</v>
      </c>
      <c r="M18" s="198">
        <f t="shared" si="9"/>
        <v>0.08154188287620459</v>
      </c>
      <c r="N18" s="198">
        <f t="shared" si="2"/>
        <v>2.171979243884359</v>
      </c>
      <c r="O18" s="198">
        <f t="shared" si="3"/>
        <v>51.94217939214233</v>
      </c>
      <c r="P18" s="198">
        <f t="shared" si="4"/>
        <v>43.120830244625644</v>
      </c>
      <c r="Q18" s="198">
        <f t="shared" si="5"/>
        <v>1.9347664936990365</v>
      </c>
      <c r="R18" s="198">
        <f t="shared" si="6"/>
        <v>0</v>
      </c>
      <c r="S18" s="198">
        <f t="shared" si="7"/>
        <v>0</v>
      </c>
      <c r="T18" s="30">
        <f t="shared" si="10"/>
        <v>99.99999999999999</v>
      </c>
    </row>
    <row r="19" spans="1:20" ht="15">
      <c r="A19" s="138">
        <f>1!A19</f>
        <v>8</v>
      </c>
      <c r="B19" s="30" t="str">
        <f>1!B19</f>
        <v>Pulang Pisau</v>
      </c>
      <c r="C19" s="31">
        <v>0</v>
      </c>
      <c r="D19" s="31">
        <v>0</v>
      </c>
      <c r="E19" s="31">
        <v>439</v>
      </c>
      <c r="F19" s="31">
        <v>1380</v>
      </c>
      <c r="G19" s="31">
        <v>813</v>
      </c>
      <c r="H19" s="31">
        <v>98</v>
      </c>
      <c r="I19" s="31">
        <v>0</v>
      </c>
      <c r="J19" s="31">
        <v>0</v>
      </c>
      <c r="K19" s="31">
        <f t="shared" si="1"/>
        <v>2730</v>
      </c>
      <c r="L19" s="198">
        <f t="shared" si="8"/>
        <v>0</v>
      </c>
      <c r="M19" s="198">
        <f t="shared" si="9"/>
        <v>0</v>
      </c>
      <c r="N19" s="198">
        <f t="shared" si="2"/>
        <v>16.08058608058608</v>
      </c>
      <c r="O19" s="198">
        <f t="shared" si="3"/>
        <v>50.54945054945055</v>
      </c>
      <c r="P19" s="198">
        <f t="shared" si="4"/>
        <v>29.78021978021978</v>
      </c>
      <c r="Q19" s="198">
        <f t="shared" si="5"/>
        <v>3.5897435897435894</v>
      </c>
      <c r="R19" s="198">
        <f t="shared" si="6"/>
        <v>0</v>
      </c>
      <c r="S19" s="198">
        <f t="shared" si="7"/>
        <v>0</v>
      </c>
      <c r="T19" s="30">
        <f t="shared" si="10"/>
        <v>100</v>
      </c>
    </row>
    <row r="20" spans="1:20" ht="15">
      <c r="A20" s="138">
        <f>1!A20</f>
        <v>9</v>
      </c>
      <c r="B20" s="30" t="str">
        <f>1!B20</f>
        <v>Gunung Mas</v>
      </c>
      <c r="C20" s="31">
        <v>0</v>
      </c>
      <c r="D20" s="31">
        <v>0</v>
      </c>
      <c r="E20" s="31">
        <v>137</v>
      </c>
      <c r="F20" s="31">
        <v>1218</v>
      </c>
      <c r="G20" s="31">
        <v>613</v>
      </c>
      <c r="H20" s="31">
        <v>97</v>
      </c>
      <c r="I20" s="31">
        <v>0</v>
      </c>
      <c r="J20" s="31">
        <v>0</v>
      </c>
      <c r="K20" s="31">
        <f t="shared" si="1"/>
        <v>2065</v>
      </c>
      <c r="L20" s="198">
        <f t="shared" si="8"/>
        <v>0</v>
      </c>
      <c r="M20" s="198">
        <f t="shared" si="9"/>
        <v>0</v>
      </c>
      <c r="N20" s="198">
        <f t="shared" si="2"/>
        <v>6.634382566585957</v>
      </c>
      <c r="O20" s="198">
        <f t="shared" si="3"/>
        <v>58.98305084745763</v>
      </c>
      <c r="P20" s="198">
        <f t="shared" si="4"/>
        <v>29.685230024213077</v>
      </c>
      <c r="Q20" s="198">
        <f t="shared" si="5"/>
        <v>4.697336561743342</v>
      </c>
      <c r="R20" s="198">
        <f t="shared" si="6"/>
        <v>0</v>
      </c>
      <c r="S20" s="198">
        <f t="shared" si="7"/>
        <v>0</v>
      </c>
      <c r="T20" s="30">
        <f t="shared" si="10"/>
        <v>100.00000000000001</v>
      </c>
    </row>
    <row r="21" spans="1:20" ht="15">
      <c r="A21" s="138">
        <f>1!A21</f>
        <v>10</v>
      </c>
      <c r="B21" s="30" t="str">
        <f>1!B21</f>
        <v>Barito Selatan</v>
      </c>
      <c r="C21" s="139">
        <v>4</v>
      </c>
      <c r="D21" s="139">
        <v>5</v>
      </c>
      <c r="E21" s="139">
        <v>437</v>
      </c>
      <c r="F21" s="139">
        <v>1144</v>
      </c>
      <c r="G21" s="139">
        <v>887</v>
      </c>
      <c r="H21" s="139">
        <v>21</v>
      </c>
      <c r="I21" s="139">
        <v>0</v>
      </c>
      <c r="J21" s="139">
        <v>0</v>
      </c>
      <c r="K21" s="139">
        <f t="shared" si="1"/>
        <v>2498</v>
      </c>
      <c r="L21" s="141">
        <f t="shared" si="8"/>
        <v>0.16012810248198558</v>
      </c>
      <c r="M21" s="141">
        <f t="shared" si="9"/>
        <v>0.20016012810248196</v>
      </c>
      <c r="N21" s="141">
        <f t="shared" si="2"/>
        <v>17.493995196156924</v>
      </c>
      <c r="O21" s="141">
        <f t="shared" si="3"/>
        <v>45.796637309847874</v>
      </c>
      <c r="P21" s="141">
        <f t="shared" si="4"/>
        <v>35.508406725380304</v>
      </c>
      <c r="Q21" s="141">
        <f t="shared" si="5"/>
        <v>0.8406725380304243</v>
      </c>
      <c r="R21" s="141">
        <f t="shared" si="6"/>
        <v>0</v>
      </c>
      <c r="S21" s="141">
        <f t="shared" si="7"/>
        <v>0</v>
      </c>
      <c r="T21" s="138">
        <f t="shared" si="10"/>
        <v>99.99999999999999</v>
      </c>
    </row>
    <row r="22" spans="1:20" ht="15">
      <c r="A22" s="138">
        <f>1!A22</f>
        <v>11</v>
      </c>
      <c r="B22" s="30" t="str">
        <f>1!B22</f>
        <v>Barito Timur</v>
      </c>
      <c r="C22" s="31">
        <v>0</v>
      </c>
      <c r="D22" s="31">
        <v>1</v>
      </c>
      <c r="E22" s="31">
        <v>0</v>
      </c>
      <c r="F22" s="31">
        <v>58</v>
      </c>
      <c r="G22" s="31">
        <v>35</v>
      </c>
      <c r="H22" s="31">
        <v>0</v>
      </c>
      <c r="I22" s="31">
        <v>0</v>
      </c>
      <c r="J22" s="31">
        <v>0</v>
      </c>
      <c r="K22" s="31">
        <f t="shared" si="1"/>
        <v>94</v>
      </c>
      <c r="L22" s="198">
        <f t="shared" si="8"/>
        <v>0</v>
      </c>
      <c r="M22" s="198">
        <f t="shared" si="9"/>
        <v>1.0638297872340425</v>
      </c>
      <c r="N22" s="198">
        <f t="shared" si="2"/>
        <v>0</v>
      </c>
      <c r="O22" s="198">
        <f t="shared" si="3"/>
        <v>61.702127659574465</v>
      </c>
      <c r="P22" s="198">
        <f t="shared" si="4"/>
        <v>37.234042553191486</v>
      </c>
      <c r="Q22" s="198">
        <f t="shared" si="5"/>
        <v>0</v>
      </c>
      <c r="R22" s="198">
        <f t="shared" si="6"/>
        <v>0</v>
      </c>
      <c r="S22" s="198">
        <f t="shared" si="7"/>
        <v>0</v>
      </c>
      <c r="T22" s="30">
        <f t="shared" si="10"/>
        <v>100</v>
      </c>
    </row>
    <row r="23" spans="1:20" ht="15">
      <c r="A23" s="138">
        <f>1!A23</f>
        <v>12</v>
      </c>
      <c r="B23" s="30" t="str">
        <f>1!B23</f>
        <v>Barito Utara</v>
      </c>
      <c r="C23" s="139">
        <v>14</v>
      </c>
      <c r="D23" s="139">
        <v>4</v>
      </c>
      <c r="E23" s="139">
        <v>146</v>
      </c>
      <c r="F23" s="139">
        <v>1293</v>
      </c>
      <c r="G23" s="139">
        <v>994</v>
      </c>
      <c r="H23" s="139">
        <v>68</v>
      </c>
      <c r="I23" s="139">
        <v>0</v>
      </c>
      <c r="J23" s="139">
        <v>0</v>
      </c>
      <c r="K23" s="139">
        <f t="shared" si="1"/>
        <v>2519</v>
      </c>
      <c r="L23" s="198">
        <f t="shared" si="8"/>
        <v>0.55577610162763</v>
      </c>
      <c r="M23" s="198">
        <f t="shared" si="9"/>
        <v>0.15879317189360856</v>
      </c>
      <c r="N23" s="198">
        <f t="shared" si="2"/>
        <v>5.7959507741167124</v>
      </c>
      <c r="O23" s="198">
        <f t="shared" si="3"/>
        <v>51.32989281460897</v>
      </c>
      <c r="P23" s="198">
        <f t="shared" si="4"/>
        <v>39.46010321556173</v>
      </c>
      <c r="Q23" s="198">
        <f t="shared" si="5"/>
        <v>2.699483922191346</v>
      </c>
      <c r="R23" s="198">
        <f t="shared" si="6"/>
        <v>0</v>
      </c>
      <c r="S23" s="198">
        <f t="shared" si="7"/>
        <v>0</v>
      </c>
      <c r="T23" s="30">
        <f t="shared" si="10"/>
        <v>100</v>
      </c>
    </row>
    <row r="24" spans="1:20" ht="15">
      <c r="A24" s="138">
        <f>1!A24</f>
        <v>13</v>
      </c>
      <c r="B24" s="30" t="str">
        <f>1!B24</f>
        <v>Murung Raya</v>
      </c>
      <c r="C24" s="139">
        <v>2</v>
      </c>
      <c r="D24" s="139">
        <v>1</v>
      </c>
      <c r="E24" s="139">
        <v>15</v>
      </c>
      <c r="F24" s="139">
        <v>1460</v>
      </c>
      <c r="G24" s="139">
        <v>1029</v>
      </c>
      <c r="H24" s="139">
        <v>12</v>
      </c>
      <c r="I24" s="139">
        <v>0</v>
      </c>
      <c r="J24" s="139">
        <v>0</v>
      </c>
      <c r="K24" s="139">
        <f t="shared" si="1"/>
        <v>2519</v>
      </c>
      <c r="L24" s="141">
        <f t="shared" si="8"/>
        <v>0.07939658594680428</v>
      </c>
      <c r="M24" s="141">
        <f t="shared" si="9"/>
        <v>0.03969829297340214</v>
      </c>
      <c r="N24" s="141">
        <f t="shared" si="2"/>
        <v>0.5954743946010321</v>
      </c>
      <c r="O24" s="141">
        <f t="shared" si="3"/>
        <v>57.95950774116713</v>
      </c>
      <c r="P24" s="141">
        <f t="shared" si="4"/>
        <v>40.8495434696308</v>
      </c>
      <c r="Q24" s="141">
        <f t="shared" si="5"/>
        <v>0.4763795156808257</v>
      </c>
      <c r="R24" s="141">
        <f t="shared" si="6"/>
        <v>0</v>
      </c>
      <c r="S24" s="141">
        <f t="shared" si="7"/>
        <v>0</v>
      </c>
      <c r="T24" s="138">
        <f t="shared" si="10"/>
        <v>100</v>
      </c>
    </row>
    <row r="25" spans="1:20" ht="15">
      <c r="A25" s="138">
        <f>1!A25</f>
        <v>14</v>
      </c>
      <c r="B25" s="30" t="str">
        <f>1!B25</f>
        <v>Palangka Raya</v>
      </c>
      <c r="C25" s="31">
        <v>18</v>
      </c>
      <c r="D25" s="31">
        <v>1</v>
      </c>
      <c r="E25" s="31">
        <v>97</v>
      </c>
      <c r="F25" s="31">
        <v>1439</v>
      </c>
      <c r="G25" s="31">
        <v>1276</v>
      </c>
      <c r="H25" s="31">
        <v>78</v>
      </c>
      <c r="I25" s="31">
        <v>0</v>
      </c>
      <c r="J25" s="31">
        <v>0</v>
      </c>
      <c r="K25" s="31">
        <f>SUM(C25:J25)</f>
        <v>2909</v>
      </c>
      <c r="L25" s="198">
        <f aca="true" t="shared" si="11" ref="L25:S25">C25/$K25*100</f>
        <v>0.6187693365417669</v>
      </c>
      <c r="M25" s="198">
        <f t="shared" si="11"/>
        <v>0.034376074252320386</v>
      </c>
      <c r="N25" s="198">
        <f t="shared" si="11"/>
        <v>3.3344792024750776</v>
      </c>
      <c r="O25" s="198">
        <f t="shared" si="11"/>
        <v>49.46717084908903</v>
      </c>
      <c r="P25" s="198">
        <f t="shared" si="11"/>
        <v>43.86387074596081</v>
      </c>
      <c r="Q25" s="198">
        <f t="shared" si="11"/>
        <v>2.68133379168099</v>
      </c>
      <c r="R25" s="198">
        <f t="shared" si="11"/>
        <v>0</v>
      </c>
      <c r="S25" s="198">
        <f t="shared" si="11"/>
        <v>0</v>
      </c>
      <c r="T25" s="30">
        <f>SUM(L25:S25)</f>
        <v>99.99999999999999</v>
      </c>
    </row>
    <row r="26" spans="1:20" ht="15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1"/>
      <c r="L26" s="198"/>
      <c r="M26" s="198"/>
      <c r="N26" s="198"/>
      <c r="O26" s="198"/>
      <c r="P26" s="198"/>
      <c r="Q26" s="198"/>
      <c r="R26" s="198"/>
      <c r="S26" s="198"/>
      <c r="T26" s="30"/>
    </row>
    <row r="27" spans="1:20" ht="15.75" thickBot="1">
      <c r="A27" s="165" t="s">
        <v>859</v>
      </c>
      <c r="B27" s="70"/>
      <c r="C27" s="41">
        <f aca="true" t="shared" si="12" ref="C27:T27">SUM(C12:C26)</f>
        <v>251</v>
      </c>
      <c r="D27" s="41">
        <f t="shared" si="12"/>
        <v>184</v>
      </c>
      <c r="E27" s="41">
        <f t="shared" si="12"/>
        <v>3461</v>
      </c>
      <c r="F27" s="41">
        <f t="shared" si="12"/>
        <v>31513</v>
      </c>
      <c r="G27" s="41">
        <f t="shared" si="12"/>
        <v>20745</v>
      </c>
      <c r="H27" s="41">
        <f t="shared" si="12"/>
        <v>2066</v>
      </c>
      <c r="I27" s="41">
        <f t="shared" si="12"/>
        <v>0</v>
      </c>
      <c r="J27" s="41">
        <f t="shared" si="12"/>
        <v>0</v>
      </c>
      <c r="K27" s="41">
        <f t="shared" si="12"/>
        <v>58220</v>
      </c>
      <c r="L27" s="37">
        <f t="shared" si="12"/>
        <v>3.6435479422607395</v>
      </c>
      <c r="M27" s="37">
        <f t="shared" si="12"/>
        <v>3.9889461383375338</v>
      </c>
      <c r="N27" s="37">
        <f t="shared" si="12"/>
        <v>85.7061770561601</v>
      </c>
      <c r="O27" s="37">
        <f t="shared" si="12"/>
        <v>698.3658335289499</v>
      </c>
      <c r="P27" s="37">
        <f t="shared" si="12"/>
        <v>464.53304459058245</v>
      </c>
      <c r="Q27" s="37">
        <f t="shared" si="12"/>
        <v>43.76245074370938</v>
      </c>
      <c r="R27" s="37">
        <f t="shared" si="12"/>
        <v>0</v>
      </c>
      <c r="S27" s="37">
        <f t="shared" si="12"/>
        <v>0</v>
      </c>
      <c r="T27" s="37">
        <f t="shared" si="12"/>
        <v>1300</v>
      </c>
    </row>
    <row r="28" spans="1:18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0" ht="15">
      <c r="A29" s="525" t="s">
        <v>243</v>
      </c>
      <c r="B29" s="18"/>
      <c r="C29" s="18"/>
      <c r="D29" s="18"/>
      <c r="E29" s="18"/>
      <c r="F29" s="18"/>
      <c r="G29" s="18"/>
      <c r="H29" s="18"/>
      <c r="I29" s="18"/>
      <c r="J29" s="18"/>
    </row>
    <row r="30" spans="1:20" ht="12.75" customHeight="1">
      <c r="A30" s="14" t="s">
        <v>694</v>
      </c>
      <c r="B30" s="390" t="s">
        <v>965</v>
      </c>
      <c r="T30" s="511"/>
    </row>
    <row r="31" ht="12.75" customHeight="1"/>
    <row r="32" ht="38.25" customHeight="1"/>
  </sheetData>
  <mergeCells count="7">
    <mergeCell ref="A3:T3"/>
    <mergeCell ref="T9:T10"/>
    <mergeCell ref="A8:A10"/>
    <mergeCell ref="B8:B10"/>
    <mergeCell ref="K9:K10"/>
    <mergeCell ref="A4:T4"/>
    <mergeCell ref="A5:T5"/>
  </mergeCells>
  <printOptions horizontalCentered="1"/>
  <pageMargins left="1.299212598425197" right="0.7086614173228347" top="1.141732283464567" bottom="0.9055118110236221" header="0" footer="1.1811023622047245"/>
  <pageSetup fitToHeight="1" fitToWidth="1" horizontalDpi="300" verticalDpi="300" orientation="landscape" paperSize="9" scale="64" r:id="rId1"/>
  <headerFooter alignWithMargins="0">
    <oddFooter>&amp;C78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E28"/>
  <sheetViews>
    <sheetView zoomScale="75" zoomScaleNormal="75" workbookViewId="0" topLeftCell="A1">
      <selection activeCell="D26" sqref="D26"/>
    </sheetView>
  </sheetViews>
  <sheetFormatPr defaultColWidth="9.140625" defaultRowHeight="12.75"/>
  <cols>
    <col min="1" max="1" width="5.7109375" style="204" customWidth="1"/>
    <col min="2" max="2" width="29.8515625" style="204" customWidth="1"/>
    <col min="3" max="5" width="28.57421875" style="204" customWidth="1"/>
    <col min="6" max="16384" width="9.140625" style="204" customWidth="1"/>
  </cols>
  <sheetData>
    <row r="1" spans="1:4" ht="15">
      <c r="A1" s="13" t="s">
        <v>448</v>
      </c>
      <c r="B1" s="14"/>
      <c r="C1" s="14"/>
      <c r="D1" s="14"/>
    </row>
    <row r="2" spans="1:4" ht="15">
      <c r="A2" s="14"/>
      <c r="B2" s="14"/>
      <c r="C2" s="15"/>
      <c r="D2" s="15"/>
    </row>
    <row r="3" spans="1:5" ht="15">
      <c r="A3" s="641" t="s">
        <v>866</v>
      </c>
      <c r="B3" s="641"/>
      <c r="C3" s="641"/>
      <c r="D3" s="641"/>
      <c r="E3" s="641"/>
    </row>
    <row r="4" spans="1:5" ht="15">
      <c r="A4" s="642" t="str">
        <f>1!A5</f>
        <v>PROVINSI KALIMANTAN TENGAH</v>
      </c>
      <c r="B4" s="642"/>
      <c r="C4" s="642"/>
      <c r="D4" s="642"/>
      <c r="E4" s="642"/>
    </row>
    <row r="5" spans="1:5" ht="15">
      <c r="A5" s="642" t="str">
        <f>1!A6</f>
        <v>TAHUN 2009</v>
      </c>
      <c r="B5" s="642"/>
      <c r="C5" s="642"/>
      <c r="D5" s="642"/>
      <c r="E5" s="642"/>
    </row>
    <row r="6" spans="1:2" ht="15.75" thickBot="1">
      <c r="A6" s="18"/>
      <c r="B6" s="18"/>
    </row>
    <row r="7" spans="1:5" ht="19.5" customHeight="1">
      <c r="A7" s="634" t="s">
        <v>2</v>
      </c>
      <c r="B7" s="637" t="s">
        <v>844</v>
      </c>
      <c r="C7" s="637" t="s">
        <v>261</v>
      </c>
      <c r="D7" s="637" t="s">
        <v>262</v>
      </c>
      <c r="E7" s="637" t="s">
        <v>263</v>
      </c>
    </row>
    <row r="8" spans="1:5" ht="19.5" customHeight="1">
      <c r="A8" s="635"/>
      <c r="B8" s="638"/>
      <c r="C8" s="638"/>
      <c r="D8" s="638"/>
      <c r="E8" s="638"/>
    </row>
    <row r="9" spans="1:5" ht="19.5" customHeight="1">
      <c r="A9" s="636"/>
      <c r="B9" s="639"/>
      <c r="C9" s="639"/>
      <c r="D9" s="639"/>
      <c r="E9" s="639"/>
    </row>
    <row r="10" spans="1:5" ht="15">
      <c r="A10" s="11">
        <v>1</v>
      </c>
      <c r="B10" s="11">
        <v>2</v>
      </c>
      <c r="C10" s="59">
        <v>4</v>
      </c>
      <c r="D10" s="59">
        <v>5</v>
      </c>
      <c r="E10" s="59">
        <v>6</v>
      </c>
    </row>
    <row r="11" spans="1:5" ht="15">
      <c r="A11" s="138">
        <f>6!A11</f>
        <v>1</v>
      </c>
      <c r="B11" s="30" t="str">
        <f>6!B11</f>
        <v>Kotawaringin Barat</v>
      </c>
      <c r="C11" s="139">
        <f>1!F12</f>
        <v>89</v>
      </c>
      <c r="D11" s="139">
        <v>66</v>
      </c>
      <c r="E11" s="139">
        <f>D11/C11*100</f>
        <v>74.15730337078652</v>
      </c>
    </row>
    <row r="12" spans="1:5" ht="15">
      <c r="A12" s="138">
        <f>6!A12</f>
        <v>2</v>
      </c>
      <c r="B12" s="30" t="str">
        <f>6!B12</f>
        <v>Lamandau</v>
      </c>
      <c r="C12" s="139">
        <f>1!F13</f>
        <v>83</v>
      </c>
      <c r="D12" s="139">
        <v>48</v>
      </c>
      <c r="E12" s="139">
        <f>D12/C12*100</f>
        <v>57.831325301204814</v>
      </c>
    </row>
    <row r="13" spans="1:5" ht="15">
      <c r="A13" s="138">
        <f>6!A13</f>
        <v>3</v>
      </c>
      <c r="B13" s="30" t="str">
        <f>6!B13</f>
        <v>Sukamara</v>
      </c>
      <c r="C13" s="139">
        <f>1!F14</f>
        <v>32</v>
      </c>
      <c r="D13" s="139">
        <v>19</v>
      </c>
      <c r="E13" s="139">
        <f aca="true" t="shared" si="0" ref="E13:E26">D13/C13*100</f>
        <v>59.375</v>
      </c>
    </row>
    <row r="14" spans="1:5" ht="15">
      <c r="A14" s="138">
        <f>6!A14</f>
        <v>4</v>
      </c>
      <c r="B14" s="30" t="str">
        <f>6!B14</f>
        <v>Kotawaringin Timur</v>
      </c>
      <c r="C14" s="139">
        <f>1!F15</f>
        <v>165</v>
      </c>
      <c r="D14" s="139">
        <v>135</v>
      </c>
      <c r="E14" s="139">
        <f t="shared" si="0"/>
        <v>81.81818181818183</v>
      </c>
    </row>
    <row r="15" spans="1:5" ht="15">
      <c r="A15" s="138">
        <f>6!A15</f>
        <v>5</v>
      </c>
      <c r="B15" s="30" t="str">
        <f>6!B15</f>
        <v>Seruyan</v>
      </c>
      <c r="C15" s="139">
        <f>1!F16</f>
        <v>101</v>
      </c>
      <c r="D15" s="139">
        <v>47</v>
      </c>
      <c r="E15" s="139">
        <f t="shared" si="0"/>
        <v>46.53465346534654</v>
      </c>
    </row>
    <row r="16" spans="1:5" ht="15">
      <c r="A16" s="138">
        <f>6!A16</f>
        <v>6</v>
      </c>
      <c r="B16" s="30" t="str">
        <f>6!B16</f>
        <v>Katingan</v>
      </c>
      <c r="C16" s="139">
        <f>1!F17</f>
        <v>161</v>
      </c>
      <c r="D16" s="139">
        <v>84</v>
      </c>
      <c r="E16" s="139">
        <f t="shared" si="0"/>
        <v>52.17391304347826</v>
      </c>
    </row>
    <row r="17" spans="1:5" ht="15">
      <c r="A17" s="138">
        <f>6!A17</f>
        <v>7</v>
      </c>
      <c r="B17" s="30" t="str">
        <f>6!B17</f>
        <v>Kapuas</v>
      </c>
      <c r="C17" s="139">
        <f>1!F18</f>
        <v>187</v>
      </c>
      <c r="D17" s="139">
        <v>135</v>
      </c>
      <c r="E17" s="139">
        <f t="shared" si="0"/>
        <v>72.19251336898395</v>
      </c>
    </row>
    <row r="18" spans="1:5" ht="15">
      <c r="A18" s="138">
        <f>6!A18</f>
        <v>8</v>
      </c>
      <c r="B18" s="30" t="str">
        <f>6!B18</f>
        <v>Pulang Pisau</v>
      </c>
      <c r="C18" s="139">
        <f>1!F19</f>
        <v>97</v>
      </c>
      <c r="D18" s="139">
        <v>83</v>
      </c>
      <c r="E18" s="139">
        <f t="shared" si="0"/>
        <v>85.56701030927834</v>
      </c>
    </row>
    <row r="19" spans="1:5" ht="15">
      <c r="A19" s="138">
        <f>6!A19</f>
        <v>9</v>
      </c>
      <c r="B19" s="30" t="str">
        <f>6!B19</f>
        <v>Gunung Mas</v>
      </c>
      <c r="C19" s="139">
        <f>1!F20</f>
        <v>125</v>
      </c>
      <c r="D19" s="139">
        <v>79</v>
      </c>
      <c r="E19" s="139">
        <f t="shared" si="0"/>
        <v>63.2</v>
      </c>
    </row>
    <row r="20" spans="1:5" ht="15">
      <c r="A20" s="138">
        <f>6!A20</f>
        <v>10</v>
      </c>
      <c r="B20" s="30" t="str">
        <f>6!B20</f>
        <v>Barito Selatan</v>
      </c>
      <c r="C20" s="139">
        <f>1!F21</f>
        <v>93</v>
      </c>
      <c r="D20" s="139">
        <v>58</v>
      </c>
      <c r="E20" s="139">
        <f t="shared" si="0"/>
        <v>62.365591397849464</v>
      </c>
    </row>
    <row r="21" spans="1:5" ht="15">
      <c r="A21" s="138">
        <f>6!A21</f>
        <v>11</v>
      </c>
      <c r="B21" s="30" t="str">
        <f>6!B21</f>
        <v>Barito Timur</v>
      </c>
      <c r="C21" s="139">
        <f>1!F22</f>
        <v>105</v>
      </c>
      <c r="D21" s="139">
        <v>60</v>
      </c>
      <c r="E21" s="139">
        <f t="shared" si="0"/>
        <v>57.14285714285714</v>
      </c>
    </row>
    <row r="22" spans="1:5" ht="15">
      <c r="A22" s="138">
        <f>6!A22</f>
        <v>12</v>
      </c>
      <c r="B22" s="30" t="str">
        <f>6!B22</f>
        <v>Barito Utara</v>
      </c>
      <c r="C22" s="139">
        <f>1!F23</f>
        <v>103</v>
      </c>
      <c r="D22" s="139">
        <v>101</v>
      </c>
      <c r="E22" s="139">
        <f>D22/C22*100</f>
        <v>98.05825242718447</v>
      </c>
    </row>
    <row r="23" spans="1:5" ht="15">
      <c r="A23" s="138">
        <f>6!A23</f>
        <v>13</v>
      </c>
      <c r="B23" s="30" t="str">
        <f>6!B23</f>
        <v>Murung Raya</v>
      </c>
      <c r="C23" s="139">
        <f>1!F24</f>
        <v>124</v>
      </c>
      <c r="D23" s="139">
        <v>103</v>
      </c>
      <c r="E23" s="139">
        <f>D23/C23*100</f>
        <v>83.06451612903226</v>
      </c>
    </row>
    <row r="24" spans="1:5" ht="15">
      <c r="A24" s="138">
        <f>6!A24</f>
        <v>14</v>
      </c>
      <c r="B24" s="30" t="str">
        <f>6!B24</f>
        <v>Palangka Raya</v>
      </c>
      <c r="C24" s="139">
        <f>1!F25</f>
        <v>30</v>
      </c>
      <c r="D24" s="139">
        <v>18</v>
      </c>
      <c r="E24" s="139">
        <f>D24/C24*100</f>
        <v>60</v>
      </c>
    </row>
    <row r="25" spans="1:5" ht="15">
      <c r="A25" s="30"/>
      <c r="B25" s="30"/>
      <c r="C25" s="139"/>
      <c r="D25" s="139"/>
      <c r="E25" s="139"/>
    </row>
    <row r="26" spans="1:5" ht="19.5" customHeight="1" thickBot="1">
      <c r="A26" s="165" t="s">
        <v>859</v>
      </c>
      <c r="B26" s="37"/>
      <c r="C26" s="41">
        <f>SUM(C11:C25)</f>
        <v>1495</v>
      </c>
      <c r="D26" s="41">
        <f>SUM(D11:D25)</f>
        <v>1036</v>
      </c>
      <c r="E26" s="167">
        <f t="shared" si="0"/>
        <v>69.29765886287626</v>
      </c>
    </row>
    <row r="27" spans="1:2" ht="15">
      <c r="A27" s="9"/>
      <c r="B27" s="9"/>
    </row>
    <row r="28" spans="1:5" ht="15">
      <c r="A28" s="525" t="s">
        <v>243</v>
      </c>
      <c r="B28" s="14"/>
      <c r="E28" s="511"/>
    </row>
  </sheetData>
  <mergeCells count="8">
    <mergeCell ref="A3:E3"/>
    <mergeCell ref="E7:E9"/>
    <mergeCell ref="A7:A9"/>
    <mergeCell ref="B7:B9"/>
    <mergeCell ref="C7:C9"/>
    <mergeCell ref="D7:D9"/>
    <mergeCell ref="A4:E4"/>
    <mergeCell ref="A5:E5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97" r:id="rId1"/>
  <headerFooter alignWithMargins="0">
    <oddFooter>&amp;C79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P33"/>
  <sheetViews>
    <sheetView zoomScale="75" zoomScaleNormal="75" workbookViewId="0" topLeftCell="A1">
      <selection activeCell="A3" sqref="A3:N3"/>
    </sheetView>
  </sheetViews>
  <sheetFormatPr defaultColWidth="9.140625" defaultRowHeight="12.75"/>
  <cols>
    <col min="1" max="1" width="5.7109375" style="14" customWidth="1"/>
    <col min="2" max="2" width="25.57421875" style="14" customWidth="1"/>
    <col min="3" max="3" width="12.7109375" style="14" customWidth="1"/>
    <col min="4" max="14" width="10.7109375" style="14" customWidth="1"/>
    <col min="15" max="15" width="12.7109375" style="14" customWidth="1"/>
    <col min="16" max="16384" width="9.140625" style="14" customWidth="1"/>
  </cols>
  <sheetData>
    <row r="1" ht="15">
      <c r="A1" s="13" t="s">
        <v>479</v>
      </c>
    </row>
    <row r="3" spans="1:14" ht="15">
      <c r="A3" s="641" t="s">
        <v>867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</row>
    <row r="4" spans="1:14" ht="15">
      <c r="A4" s="642" t="s">
        <v>952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</row>
    <row r="5" spans="1:14" ht="15">
      <c r="A5" s="642" t="str">
        <f>1!A6:E6</f>
        <v>TAHUN 2009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</row>
    <row r="6" spans="1:14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.7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8" customHeight="1">
      <c r="A8" s="19"/>
      <c r="B8" s="20"/>
      <c r="C8" s="43" t="s">
        <v>109</v>
      </c>
      <c r="D8" s="45" t="s">
        <v>357</v>
      </c>
      <c r="E8" s="46"/>
      <c r="F8" s="45"/>
      <c r="G8" s="46"/>
      <c r="H8" s="45"/>
      <c r="I8" s="46"/>
      <c r="J8" s="45"/>
      <c r="K8" s="46"/>
      <c r="L8" s="46"/>
      <c r="M8" s="47"/>
      <c r="N8" s="500" t="s">
        <v>358</v>
      </c>
    </row>
    <row r="9" spans="1:14" ht="18" customHeight="1">
      <c r="A9" s="22" t="s">
        <v>2</v>
      </c>
      <c r="B9" s="23" t="s">
        <v>844</v>
      </c>
      <c r="C9" s="48" t="s">
        <v>326</v>
      </c>
      <c r="D9" s="49" t="s">
        <v>359</v>
      </c>
      <c r="E9" s="51"/>
      <c r="F9" s="49" t="s">
        <v>512</v>
      </c>
      <c r="G9" s="51"/>
      <c r="H9" s="49" t="s">
        <v>513</v>
      </c>
      <c r="I9" s="51"/>
      <c r="J9" s="49" t="s">
        <v>360</v>
      </c>
      <c r="K9" s="51"/>
      <c r="L9" s="49" t="s">
        <v>322</v>
      </c>
      <c r="M9" s="51"/>
      <c r="N9" s="57" t="s">
        <v>361</v>
      </c>
    </row>
    <row r="10" spans="1:14" ht="18" customHeight="1">
      <c r="A10" s="26"/>
      <c r="B10" s="27"/>
      <c r="C10" s="52"/>
      <c r="D10" s="26" t="s">
        <v>21</v>
      </c>
      <c r="E10" s="26" t="s">
        <v>27</v>
      </c>
      <c r="F10" s="26" t="s">
        <v>21</v>
      </c>
      <c r="G10" s="26" t="s">
        <v>27</v>
      </c>
      <c r="H10" s="26" t="s">
        <v>21</v>
      </c>
      <c r="I10" s="26" t="s">
        <v>27</v>
      </c>
      <c r="J10" s="26" t="s">
        <v>21</v>
      </c>
      <c r="K10" s="26" t="s">
        <v>27</v>
      </c>
      <c r="L10" s="26" t="s">
        <v>21</v>
      </c>
      <c r="M10" s="26" t="s">
        <v>27</v>
      </c>
      <c r="N10" s="27"/>
    </row>
    <row r="11" spans="1:14" ht="18" customHeight="1">
      <c r="A11" s="11">
        <v>1</v>
      </c>
      <c r="B11" s="11">
        <v>2</v>
      </c>
      <c r="C11" s="11">
        <v>4</v>
      </c>
      <c r="D11" s="11">
        <v>5</v>
      </c>
      <c r="E11" s="11">
        <v>6</v>
      </c>
      <c r="F11" s="11">
        <v>7</v>
      </c>
      <c r="G11" s="11">
        <v>8</v>
      </c>
      <c r="H11" s="11">
        <v>9</v>
      </c>
      <c r="I11" s="11">
        <v>10</v>
      </c>
      <c r="J11" s="11">
        <v>11</v>
      </c>
      <c r="K11" s="11">
        <v>12</v>
      </c>
      <c r="L11" s="11">
        <v>13</v>
      </c>
      <c r="M11" s="11">
        <v>14</v>
      </c>
      <c r="N11" s="59">
        <v>15</v>
      </c>
    </row>
    <row r="12" spans="1:15" ht="18" customHeight="1">
      <c r="A12" s="138">
        <f>6!A11</f>
        <v>1</v>
      </c>
      <c r="B12" s="347" t="str">
        <f>6!B11</f>
        <v>Kotawaringin Barat</v>
      </c>
      <c r="C12" s="139">
        <f>'15'!F11</f>
        <v>5183</v>
      </c>
      <c r="D12" s="31">
        <v>5129</v>
      </c>
      <c r="E12" s="205">
        <f>D12/C12*100</f>
        <v>98.9581323557785</v>
      </c>
      <c r="F12" s="31">
        <v>5017</v>
      </c>
      <c r="G12" s="205">
        <f>F12/C12*100</f>
        <v>96.79722168628207</v>
      </c>
      <c r="H12" s="31">
        <v>4784</v>
      </c>
      <c r="I12" s="205">
        <f>H12/C12*100</f>
        <v>92.30175573991897</v>
      </c>
      <c r="J12" s="31">
        <v>4786</v>
      </c>
      <c r="K12" s="205">
        <f>J12/C12*100</f>
        <v>92.3403434304457</v>
      </c>
      <c r="L12" s="31">
        <v>5100</v>
      </c>
      <c r="M12" s="205">
        <f>L12/C12*100</f>
        <v>98.39861084314104</v>
      </c>
      <c r="N12" s="139">
        <f>(F12-L12)/F12*100</f>
        <v>-1.65437512457644</v>
      </c>
      <c r="O12" s="466"/>
    </row>
    <row r="13" spans="1:15" ht="18" customHeight="1">
      <c r="A13" s="138">
        <f>6!A12</f>
        <v>2</v>
      </c>
      <c r="B13" s="347" t="str">
        <f>6!B12</f>
        <v>Lamandau</v>
      </c>
      <c r="C13" s="31">
        <f>'15'!F12</f>
        <v>1482</v>
      </c>
      <c r="D13" s="31">
        <v>1265</v>
      </c>
      <c r="E13" s="205">
        <f aca="true" t="shared" si="0" ref="E13:E25">D13/C13*100</f>
        <v>85.35762483130904</v>
      </c>
      <c r="F13" s="31">
        <v>1280</v>
      </c>
      <c r="G13" s="205">
        <f aca="true" t="shared" si="1" ref="G13:G27">F13/C13*100</f>
        <v>86.3697705802969</v>
      </c>
      <c r="H13" s="31">
        <v>1212</v>
      </c>
      <c r="I13" s="205">
        <f aca="true" t="shared" si="2" ref="I13:I27">H13/C13*100</f>
        <v>81.78137651821862</v>
      </c>
      <c r="J13" s="31">
        <v>1240</v>
      </c>
      <c r="K13" s="205">
        <f aca="true" t="shared" si="3" ref="K13:K25">J13/C13*100</f>
        <v>83.67071524966262</v>
      </c>
      <c r="L13" s="31">
        <v>1206</v>
      </c>
      <c r="M13" s="205">
        <f aca="true" t="shared" si="4" ref="M13:M25">L13/C13*100</f>
        <v>81.37651821862349</v>
      </c>
      <c r="N13" s="139">
        <f aca="true" t="shared" si="5" ref="N13:N27">(F13-L13)/F13*100</f>
        <v>5.78125</v>
      </c>
      <c r="O13" s="466"/>
    </row>
    <row r="14" spans="1:16" ht="18" customHeight="1">
      <c r="A14" s="138">
        <f>6!A13</f>
        <v>3</v>
      </c>
      <c r="B14" s="347" t="str">
        <f>6!B13</f>
        <v>Sukamara</v>
      </c>
      <c r="C14" s="31">
        <f>'15'!F13</f>
        <v>1049</v>
      </c>
      <c r="D14" s="31">
        <v>958</v>
      </c>
      <c r="E14" s="205">
        <f t="shared" si="0"/>
        <v>91.3250714966635</v>
      </c>
      <c r="F14" s="31">
        <v>960</v>
      </c>
      <c r="G14" s="205">
        <f t="shared" si="1"/>
        <v>91.5157292659676</v>
      </c>
      <c r="H14" s="31">
        <v>963</v>
      </c>
      <c r="I14" s="205">
        <f t="shared" si="2"/>
        <v>91.80171591992374</v>
      </c>
      <c r="J14" s="31">
        <v>959</v>
      </c>
      <c r="K14" s="205">
        <f t="shared" si="3"/>
        <v>91.42040038131553</v>
      </c>
      <c r="L14" s="31">
        <v>970</v>
      </c>
      <c r="M14" s="205">
        <f t="shared" si="4"/>
        <v>92.46901811248809</v>
      </c>
      <c r="N14" s="503">
        <f t="shared" si="5"/>
        <v>-1.0416666666666665</v>
      </c>
      <c r="O14" s="466"/>
      <c r="P14" s="466"/>
    </row>
    <row r="15" spans="1:15" ht="18" customHeight="1">
      <c r="A15" s="138">
        <f>6!A14</f>
        <v>4</v>
      </c>
      <c r="B15" s="347" t="str">
        <f>6!B14</f>
        <v>Kotawaringin Timur</v>
      </c>
      <c r="C15" s="139">
        <f>'15'!F14</f>
        <v>7827</v>
      </c>
      <c r="D15" s="31">
        <v>5757</v>
      </c>
      <c r="E15" s="205">
        <f t="shared" si="0"/>
        <v>73.55308547336145</v>
      </c>
      <c r="F15" s="31">
        <v>6048</v>
      </c>
      <c r="G15" s="205">
        <f t="shared" si="1"/>
        <v>77.27098505174396</v>
      </c>
      <c r="H15" s="31">
        <v>5832</v>
      </c>
      <c r="I15" s="205">
        <f t="shared" si="2"/>
        <v>74.51130701418168</v>
      </c>
      <c r="J15" s="31">
        <v>5900</v>
      </c>
      <c r="K15" s="205">
        <f t="shared" si="3"/>
        <v>75.38009454452535</v>
      </c>
      <c r="L15" s="31">
        <v>5944</v>
      </c>
      <c r="M15" s="205">
        <f t="shared" si="4"/>
        <v>75.94225118180657</v>
      </c>
      <c r="N15" s="139">
        <f t="shared" si="5"/>
        <v>1.7195767195767195</v>
      </c>
      <c r="O15" s="466"/>
    </row>
    <row r="16" spans="1:15" ht="18" customHeight="1">
      <c r="A16" s="138">
        <f>6!A15</f>
        <v>5</v>
      </c>
      <c r="B16" s="347" t="str">
        <f>6!B15</f>
        <v>Seruyan</v>
      </c>
      <c r="C16" s="31">
        <f>'15'!F15</f>
        <v>3705</v>
      </c>
      <c r="D16" s="31">
        <v>2871</v>
      </c>
      <c r="E16" s="205">
        <f t="shared" si="0"/>
        <v>77.48987854251013</v>
      </c>
      <c r="F16" s="31">
        <v>2988</v>
      </c>
      <c r="G16" s="205">
        <f t="shared" si="1"/>
        <v>80.64777327935224</v>
      </c>
      <c r="H16" s="31">
        <v>2998</v>
      </c>
      <c r="I16" s="205">
        <f t="shared" si="2"/>
        <v>80.91767881241564</v>
      </c>
      <c r="J16" s="31">
        <v>2976</v>
      </c>
      <c r="K16" s="205">
        <f t="shared" si="3"/>
        <v>80.32388663967612</v>
      </c>
      <c r="L16" s="31">
        <v>2777</v>
      </c>
      <c r="M16" s="205">
        <f t="shared" si="4"/>
        <v>74.9527665317139</v>
      </c>
      <c r="N16" s="503">
        <f t="shared" si="5"/>
        <v>7.0615796519410985</v>
      </c>
      <c r="O16" s="466"/>
    </row>
    <row r="17" spans="1:14" ht="18" customHeight="1">
      <c r="A17" s="138">
        <f>6!A16</f>
        <v>6</v>
      </c>
      <c r="B17" s="347" t="str">
        <f>6!B16</f>
        <v>Katingan</v>
      </c>
      <c r="C17" s="31">
        <f>'15'!F16</f>
        <v>3433</v>
      </c>
      <c r="D17" s="31">
        <v>3148</v>
      </c>
      <c r="E17" s="205">
        <f t="shared" si="0"/>
        <v>91.69822312845908</v>
      </c>
      <c r="F17" s="31">
        <v>3216</v>
      </c>
      <c r="G17" s="205">
        <f t="shared" si="1"/>
        <v>93.67899796096708</v>
      </c>
      <c r="H17" s="31">
        <v>3133</v>
      </c>
      <c r="I17" s="205">
        <f t="shared" si="2"/>
        <v>91.26128750364113</v>
      </c>
      <c r="J17" s="31">
        <v>3052</v>
      </c>
      <c r="K17" s="205">
        <f t="shared" si="3"/>
        <v>88.90183512962425</v>
      </c>
      <c r="L17" s="31">
        <v>2940</v>
      </c>
      <c r="M17" s="205">
        <f t="shared" si="4"/>
        <v>85.63938246431692</v>
      </c>
      <c r="N17" s="503">
        <f t="shared" si="5"/>
        <v>8.582089552238806</v>
      </c>
    </row>
    <row r="18" spans="1:14" ht="18" customHeight="1">
      <c r="A18" s="138">
        <f>6!A17</f>
        <v>7</v>
      </c>
      <c r="B18" s="347" t="str">
        <f>6!B17</f>
        <v>Kapuas</v>
      </c>
      <c r="C18" s="31">
        <f>'15'!F17</f>
        <v>8520</v>
      </c>
      <c r="D18" s="31">
        <v>8215</v>
      </c>
      <c r="E18" s="205">
        <f t="shared" si="0"/>
        <v>96.42018779342723</v>
      </c>
      <c r="F18" s="31">
        <v>7874</v>
      </c>
      <c r="G18" s="205">
        <f t="shared" si="1"/>
        <v>92.41784037558686</v>
      </c>
      <c r="H18" s="31">
        <v>7440</v>
      </c>
      <c r="I18" s="205">
        <f t="shared" si="2"/>
        <v>87.32394366197182</v>
      </c>
      <c r="J18" s="139">
        <v>7713</v>
      </c>
      <c r="K18" s="205">
        <f t="shared" si="3"/>
        <v>90.5281690140845</v>
      </c>
      <c r="L18" s="31">
        <v>7679</v>
      </c>
      <c r="M18" s="205">
        <f t="shared" si="4"/>
        <v>90.12910798122066</v>
      </c>
      <c r="N18" s="139">
        <f t="shared" si="5"/>
        <v>2.476504953009906</v>
      </c>
    </row>
    <row r="19" spans="1:14" ht="18" customHeight="1">
      <c r="A19" s="138">
        <f>6!A18</f>
        <v>8</v>
      </c>
      <c r="B19" s="347" t="str">
        <f>6!B18</f>
        <v>Pulang Pisau</v>
      </c>
      <c r="C19" s="31">
        <f>'15'!F18</f>
        <v>3008</v>
      </c>
      <c r="D19" s="31">
        <v>2453</v>
      </c>
      <c r="E19" s="205">
        <f t="shared" si="0"/>
        <v>81.54920212765957</v>
      </c>
      <c r="F19" s="31">
        <v>2741</v>
      </c>
      <c r="G19" s="205">
        <f t="shared" si="1"/>
        <v>91.12367021276596</v>
      </c>
      <c r="H19" s="31">
        <v>2255</v>
      </c>
      <c r="I19" s="205">
        <f t="shared" si="2"/>
        <v>74.96675531914893</v>
      </c>
      <c r="J19" s="31">
        <v>2171</v>
      </c>
      <c r="K19" s="205">
        <f t="shared" si="3"/>
        <v>72.17420212765957</v>
      </c>
      <c r="L19" s="31">
        <v>2190</v>
      </c>
      <c r="M19" s="205">
        <f t="shared" si="4"/>
        <v>72.80585106382979</v>
      </c>
      <c r="N19" s="139">
        <f t="shared" si="5"/>
        <v>20.102152499087925</v>
      </c>
    </row>
    <row r="20" spans="1:14" ht="18" customHeight="1">
      <c r="A20" s="138">
        <f>6!A19</f>
        <v>9</v>
      </c>
      <c r="B20" s="347" t="str">
        <f>6!B19</f>
        <v>Gunung Mas</v>
      </c>
      <c r="C20" s="31">
        <f>'15'!F19</f>
        <v>2202</v>
      </c>
      <c r="D20" s="31">
        <v>2062</v>
      </c>
      <c r="E20" s="205">
        <f t="shared" si="0"/>
        <v>93.64214350590372</v>
      </c>
      <c r="F20" s="31">
        <v>2079</v>
      </c>
      <c r="G20" s="205">
        <f t="shared" si="1"/>
        <v>94.4141689373297</v>
      </c>
      <c r="H20" s="31">
        <v>2065</v>
      </c>
      <c r="I20" s="205">
        <f t="shared" si="2"/>
        <v>93.77838328792008</v>
      </c>
      <c r="J20" s="31">
        <v>2041</v>
      </c>
      <c r="K20" s="205">
        <f t="shared" si="3"/>
        <v>92.68846503178928</v>
      </c>
      <c r="L20" s="31">
        <v>2119</v>
      </c>
      <c r="M20" s="205">
        <f t="shared" si="4"/>
        <v>96.23069936421436</v>
      </c>
      <c r="N20" s="504">
        <f t="shared" si="5"/>
        <v>-1.9240019240019242</v>
      </c>
    </row>
    <row r="21" spans="1:14" ht="18" customHeight="1">
      <c r="A21" s="138">
        <f>6!A20</f>
        <v>10</v>
      </c>
      <c r="B21" s="347" t="str">
        <f>6!B20</f>
        <v>Barito Selatan</v>
      </c>
      <c r="C21" s="139">
        <f>'15'!F20</f>
        <v>2843</v>
      </c>
      <c r="D21" s="31">
        <v>2760</v>
      </c>
      <c r="E21" s="205">
        <f t="shared" si="0"/>
        <v>97.08054871614492</v>
      </c>
      <c r="F21" s="31">
        <v>2770</v>
      </c>
      <c r="G21" s="205">
        <f t="shared" si="1"/>
        <v>97.43228983468167</v>
      </c>
      <c r="H21" s="31">
        <v>2699</v>
      </c>
      <c r="I21" s="205">
        <f t="shared" si="2"/>
        <v>94.9349278930707</v>
      </c>
      <c r="J21" s="31">
        <v>2735</v>
      </c>
      <c r="K21" s="205">
        <f t="shared" si="3"/>
        <v>96.20119591980303</v>
      </c>
      <c r="L21" s="31">
        <v>2724</v>
      </c>
      <c r="M21" s="205">
        <f t="shared" si="4"/>
        <v>95.81428068941258</v>
      </c>
      <c r="N21" s="503">
        <f t="shared" si="5"/>
        <v>1.660649819494585</v>
      </c>
    </row>
    <row r="22" spans="1:14" ht="18" customHeight="1">
      <c r="A22" s="138">
        <f>6!A21</f>
        <v>11</v>
      </c>
      <c r="B22" s="347" t="str">
        <f>6!B21</f>
        <v>Barito Timur</v>
      </c>
      <c r="C22" s="31">
        <f>'15'!F21</f>
        <v>2363</v>
      </c>
      <c r="D22" s="31">
        <v>1996</v>
      </c>
      <c r="E22" s="205">
        <f t="shared" si="0"/>
        <v>84.4688954718578</v>
      </c>
      <c r="F22" s="31">
        <v>2036</v>
      </c>
      <c r="G22" s="205">
        <f t="shared" si="1"/>
        <v>86.16165890816758</v>
      </c>
      <c r="H22" s="31">
        <v>2012</v>
      </c>
      <c r="I22" s="205">
        <f t="shared" si="2"/>
        <v>85.14600084638172</v>
      </c>
      <c r="J22" s="31">
        <v>1936</v>
      </c>
      <c r="K22" s="205">
        <f t="shared" si="3"/>
        <v>81.92975031739314</v>
      </c>
      <c r="L22" s="31">
        <v>1932</v>
      </c>
      <c r="M22" s="205">
        <f t="shared" si="4"/>
        <v>81.76047397376217</v>
      </c>
      <c r="N22" s="139">
        <f t="shared" si="5"/>
        <v>5.1080550098231825</v>
      </c>
    </row>
    <row r="23" spans="1:14" ht="18" customHeight="1">
      <c r="A23" s="138">
        <f>6!A22</f>
        <v>12</v>
      </c>
      <c r="B23" s="515" t="str">
        <f>6!B22</f>
        <v>Barito Utara</v>
      </c>
      <c r="C23" s="139">
        <f>'15'!F22</f>
        <v>2516</v>
      </c>
      <c r="D23" s="139">
        <v>2707</v>
      </c>
      <c r="E23" s="505">
        <f t="shared" si="0"/>
        <v>107.59141494435612</v>
      </c>
      <c r="F23" s="139">
        <v>2751</v>
      </c>
      <c r="G23" s="505">
        <f t="shared" si="1"/>
        <v>109.3402225755167</v>
      </c>
      <c r="H23" s="139">
        <v>2506</v>
      </c>
      <c r="I23" s="505">
        <f t="shared" si="2"/>
        <v>99.60254372019078</v>
      </c>
      <c r="J23" s="139">
        <v>2716</v>
      </c>
      <c r="K23" s="505">
        <f t="shared" si="3"/>
        <v>107.94912559618442</v>
      </c>
      <c r="L23" s="139">
        <v>2455</v>
      </c>
      <c r="M23" s="505">
        <f t="shared" si="4"/>
        <v>97.57551669316375</v>
      </c>
      <c r="N23" s="503">
        <f t="shared" si="5"/>
        <v>10.759723736822973</v>
      </c>
    </row>
    <row r="24" spans="1:14" ht="18" customHeight="1">
      <c r="A24" s="138">
        <f>6!A23</f>
        <v>13</v>
      </c>
      <c r="B24" s="347" t="str">
        <f>6!B23</f>
        <v>Murung Raya</v>
      </c>
      <c r="C24" s="31">
        <f>'15'!F23</f>
        <v>2384</v>
      </c>
      <c r="D24" s="31">
        <v>1750</v>
      </c>
      <c r="E24" s="205">
        <f t="shared" si="0"/>
        <v>73.40604026845638</v>
      </c>
      <c r="F24" s="31">
        <v>1827</v>
      </c>
      <c r="G24" s="205">
        <f t="shared" si="1"/>
        <v>76.63590604026845</v>
      </c>
      <c r="H24" s="31">
        <v>1617</v>
      </c>
      <c r="I24" s="205">
        <f t="shared" si="2"/>
        <v>67.82718120805369</v>
      </c>
      <c r="J24" s="31">
        <v>1740</v>
      </c>
      <c r="K24" s="205">
        <f t="shared" si="3"/>
        <v>72.98657718120806</v>
      </c>
      <c r="L24" s="31">
        <v>1689</v>
      </c>
      <c r="M24" s="205">
        <f t="shared" si="4"/>
        <v>70.84731543624162</v>
      </c>
      <c r="N24" s="505">
        <f t="shared" si="5"/>
        <v>7.55336617405583</v>
      </c>
    </row>
    <row r="25" spans="1:14" ht="18" customHeight="1">
      <c r="A25" s="138">
        <f>6!A24</f>
        <v>14</v>
      </c>
      <c r="B25" s="347" t="str">
        <f>6!B24</f>
        <v>Palangka Raya</v>
      </c>
      <c r="C25" s="31">
        <f>'15'!F24</f>
        <v>5006</v>
      </c>
      <c r="D25" s="31">
        <v>5467</v>
      </c>
      <c r="E25" s="205">
        <f t="shared" si="0"/>
        <v>109.20894926088694</v>
      </c>
      <c r="F25" s="31">
        <v>5357</v>
      </c>
      <c r="G25" s="205">
        <f t="shared" si="1"/>
        <v>107.01158609668397</v>
      </c>
      <c r="H25" s="31">
        <v>4835</v>
      </c>
      <c r="I25" s="205">
        <f t="shared" si="2"/>
        <v>96.58409908110268</v>
      </c>
      <c r="J25" s="31">
        <v>5101</v>
      </c>
      <c r="K25" s="205">
        <f t="shared" si="3"/>
        <v>101.89772273272072</v>
      </c>
      <c r="L25" s="31">
        <v>4761</v>
      </c>
      <c r="M25" s="205">
        <f t="shared" si="4"/>
        <v>95.10587295245705</v>
      </c>
      <c r="N25" s="139">
        <f t="shared" si="5"/>
        <v>11.125630016800446</v>
      </c>
    </row>
    <row r="26" spans="1:14" ht="18" customHeight="1">
      <c r="A26" s="30"/>
      <c r="B26" s="30"/>
      <c r="C26" s="31"/>
      <c r="D26" s="31"/>
      <c r="E26" s="206"/>
      <c r="F26" s="36"/>
      <c r="G26" s="206"/>
      <c r="H26" s="36"/>
      <c r="I26" s="206"/>
      <c r="J26" s="36"/>
      <c r="K26" s="206"/>
      <c r="L26" s="36"/>
      <c r="M26" s="206"/>
      <c r="N26" s="506"/>
    </row>
    <row r="27" spans="1:14" ht="18" customHeight="1" thickBot="1">
      <c r="A27" s="165" t="s">
        <v>859</v>
      </c>
      <c r="B27" s="108"/>
      <c r="C27" s="109">
        <f>SUM(C12:C25)</f>
        <v>51521</v>
      </c>
      <c r="D27" s="109">
        <f>SUM(D12:D25)</f>
        <v>46538</v>
      </c>
      <c r="E27" s="205">
        <f>D27/C27*100</f>
        <v>90.3282156790435</v>
      </c>
      <c r="F27" s="36">
        <f>SUM(F12:F25)</f>
        <v>46944</v>
      </c>
      <c r="G27" s="205">
        <f t="shared" si="1"/>
        <v>91.11624386172629</v>
      </c>
      <c r="H27" s="36">
        <f>SUM(H12:H25)</f>
        <v>44351</v>
      </c>
      <c r="I27" s="205">
        <f t="shared" si="2"/>
        <v>86.08334465557735</v>
      </c>
      <c r="J27" s="36">
        <f>SUM(J12:J25)</f>
        <v>45066</v>
      </c>
      <c r="K27" s="205">
        <f>J27/C27*100</f>
        <v>87.47112827778963</v>
      </c>
      <c r="L27" s="36">
        <f>SUM(L12:L25)</f>
        <v>44486</v>
      </c>
      <c r="M27" s="516"/>
      <c r="N27" s="139">
        <f t="shared" si="5"/>
        <v>5.236025903203817</v>
      </c>
    </row>
    <row r="28" spans="1:14" ht="18" customHeight="1" thickBot="1">
      <c r="A28" s="37" t="s">
        <v>362</v>
      </c>
      <c r="B28" s="3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381">
        <f>L27/C27*100</f>
        <v>86.34537373109994</v>
      </c>
      <c r="N28" s="207"/>
    </row>
    <row r="29" spans="1:14" ht="15">
      <c r="A29" s="9"/>
      <c r="B29" s="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5">
      <c r="A30" s="525" t="s">
        <v>243</v>
      </c>
      <c r="N30" s="511"/>
    </row>
    <row r="33" spans="1:2" ht="15.75">
      <c r="A33" s="133"/>
      <c r="B33" s="193"/>
    </row>
  </sheetData>
  <mergeCells count="3">
    <mergeCell ref="A3:N3"/>
    <mergeCell ref="A4:N4"/>
    <mergeCell ref="A5:N5"/>
  </mergeCells>
  <printOptions horizontalCentered="1"/>
  <pageMargins left="1.6929133858267718" right="0.9055118110236221" top="0.9055118110236221" bottom="1.141732283464567" header="0" footer="1.1811023622047245"/>
  <pageSetup fitToHeight="1" fitToWidth="1" horizontalDpi="300" verticalDpi="300" orientation="landscape" paperSize="9" scale="73" r:id="rId1"/>
  <headerFooter alignWithMargins="0">
    <oddFooter>&amp;C80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K28"/>
  <sheetViews>
    <sheetView view="pageBreakPreview" zoomScale="60" zoomScaleNormal="75" workbookViewId="0" topLeftCell="A1">
      <selection activeCell="A4" sqref="A4:K4"/>
    </sheetView>
  </sheetViews>
  <sheetFormatPr defaultColWidth="9.140625" defaultRowHeight="12.75"/>
  <cols>
    <col min="1" max="1" width="5.7109375" style="14" customWidth="1"/>
    <col min="2" max="2" width="21.7109375" style="14" customWidth="1"/>
    <col min="3" max="9" width="12.7109375" style="14" customWidth="1"/>
    <col min="10" max="10" width="13.7109375" style="14" customWidth="1"/>
    <col min="11" max="11" width="12.7109375" style="14" customWidth="1"/>
    <col min="12" max="16384" width="9.140625" style="14" customWidth="1"/>
  </cols>
  <sheetData>
    <row r="1" spans="1:2" ht="15">
      <c r="A1" s="132" t="s">
        <v>449</v>
      </c>
      <c r="B1" s="133"/>
    </row>
    <row r="3" spans="1:11" ht="15">
      <c r="A3" s="567" t="s">
        <v>972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</row>
    <row r="4" spans="1:11" ht="15">
      <c r="A4" s="641" t="str">
        <f>1!A5</f>
        <v>PROVINSI KALIMANTAN TENGAH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</row>
    <row r="5" spans="1:11" ht="15">
      <c r="A5" s="641" t="str">
        <f>1!A6</f>
        <v>TAHUN 2009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</row>
    <row r="6" ht="15.75" thickBot="1"/>
    <row r="7" spans="1:11" ht="18" customHeight="1">
      <c r="A7" s="634" t="s">
        <v>2</v>
      </c>
      <c r="B7" s="663" t="s">
        <v>868</v>
      </c>
      <c r="C7" s="208" t="s">
        <v>843</v>
      </c>
      <c r="D7" s="208"/>
      <c r="E7" s="44"/>
      <c r="F7" s="208" t="s">
        <v>544</v>
      </c>
      <c r="G7" s="208"/>
      <c r="H7" s="44"/>
      <c r="I7" s="208" t="s">
        <v>363</v>
      </c>
      <c r="J7" s="208"/>
      <c r="K7" s="44"/>
    </row>
    <row r="8" spans="1:11" ht="62.25" customHeight="1">
      <c r="A8" s="636"/>
      <c r="B8" s="664"/>
      <c r="C8" s="11" t="s">
        <v>109</v>
      </c>
      <c r="D8" s="209" t="s">
        <v>365</v>
      </c>
      <c r="E8" s="210" t="s">
        <v>145</v>
      </c>
      <c r="F8" s="11" t="s">
        <v>109</v>
      </c>
      <c r="G8" s="201" t="s">
        <v>364</v>
      </c>
      <c r="H8" s="210" t="s">
        <v>145</v>
      </c>
      <c r="I8" s="11" t="s">
        <v>109</v>
      </c>
      <c r="J8" s="201" t="s">
        <v>366</v>
      </c>
      <c r="K8" s="210" t="s">
        <v>145</v>
      </c>
    </row>
    <row r="9" spans="1:11" ht="15">
      <c r="A9" s="59">
        <v>1</v>
      </c>
      <c r="B9" s="194">
        <v>2</v>
      </c>
      <c r="C9" s="194">
        <v>4</v>
      </c>
      <c r="D9" s="11">
        <v>5</v>
      </c>
      <c r="E9" s="194">
        <v>6</v>
      </c>
      <c r="F9" s="11">
        <v>7</v>
      </c>
      <c r="G9" s="194">
        <v>8</v>
      </c>
      <c r="H9" s="11">
        <v>9</v>
      </c>
      <c r="I9" s="194">
        <v>10</v>
      </c>
      <c r="J9" s="11">
        <v>11</v>
      </c>
      <c r="K9" s="194">
        <v>12</v>
      </c>
    </row>
    <row r="10" spans="1:11" ht="15">
      <c r="A10" s="138">
        <f>6!A11</f>
        <v>1</v>
      </c>
      <c r="B10" s="33" t="str">
        <f>6!B11</f>
        <v>Kotawaringin Barat</v>
      </c>
      <c r="C10" s="30">
        <v>67</v>
      </c>
      <c r="D10" s="30">
        <v>67</v>
      </c>
      <c r="E10" s="30">
        <f>D10/C10*100</f>
        <v>100</v>
      </c>
      <c r="F10" s="139">
        <v>15075</v>
      </c>
      <c r="G10" s="31">
        <v>19020</v>
      </c>
      <c r="H10" s="198">
        <f>G10/F10*100</f>
        <v>126.16915422885573</v>
      </c>
      <c r="I10" s="31">
        <v>6</v>
      </c>
      <c r="J10" s="31">
        <v>6</v>
      </c>
      <c r="K10" s="198">
        <f>J10/I10*100</f>
        <v>100</v>
      </c>
    </row>
    <row r="11" spans="1:11" ht="15">
      <c r="A11" s="138">
        <f>6!A12</f>
        <v>2</v>
      </c>
      <c r="B11" s="33" t="str">
        <f>6!B12</f>
        <v>Lamandau</v>
      </c>
      <c r="C11" s="138">
        <v>0</v>
      </c>
      <c r="D11" s="138">
        <v>0</v>
      </c>
      <c r="E11" s="30">
        <v>0</v>
      </c>
      <c r="F11" s="31">
        <f>6!H12</f>
        <v>6134</v>
      </c>
      <c r="G11" s="31">
        <v>3424</v>
      </c>
      <c r="H11" s="198">
        <f>G11/F11*100</f>
        <v>55.82001956309097</v>
      </c>
      <c r="I11" s="31">
        <v>1</v>
      </c>
      <c r="J11" s="31">
        <v>1</v>
      </c>
      <c r="K11" s="198">
        <f>J11/I11*100</f>
        <v>100</v>
      </c>
    </row>
    <row r="12" spans="1:11" ht="15">
      <c r="A12" s="138">
        <f>6!A13</f>
        <v>3</v>
      </c>
      <c r="B12" s="183" t="str">
        <f>6!B13</f>
        <v>Sukamara</v>
      </c>
      <c r="C12" s="138">
        <v>51</v>
      </c>
      <c r="D12" s="138">
        <v>63</v>
      </c>
      <c r="E12" s="460">
        <f>D12/C12*100</f>
        <v>123.52941176470588</v>
      </c>
      <c r="F12" s="139">
        <f>6!H13</f>
        <v>3120</v>
      </c>
      <c r="G12" s="31">
        <v>2314</v>
      </c>
      <c r="H12" s="198">
        <f aca="true" t="shared" si="0" ref="H12:H25">G12/F12*100</f>
        <v>74.16666666666667</v>
      </c>
      <c r="I12" s="31">
        <v>7</v>
      </c>
      <c r="J12" s="31">
        <v>7</v>
      </c>
      <c r="K12" s="198">
        <f aca="true" t="shared" si="1" ref="K12:K25">J12/I12*100</f>
        <v>100</v>
      </c>
    </row>
    <row r="13" spans="1:11" ht="15">
      <c r="A13" s="138">
        <f>6!A14</f>
        <v>4</v>
      </c>
      <c r="B13" s="33" t="str">
        <f>6!B14</f>
        <v>Kotawaringin Timur</v>
      </c>
      <c r="C13" s="30">
        <v>346</v>
      </c>
      <c r="D13" s="30">
        <v>296</v>
      </c>
      <c r="E13" s="188">
        <f aca="true" t="shared" si="2" ref="E13:E25">D13/C13*100</f>
        <v>85.54913294797689</v>
      </c>
      <c r="F13" s="139">
        <f>6!H14</f>
        <v>30020</v>
      </c>
      <c r="G13" s="31">
        <v>100858</v>
      </c>
      <c r="H13" s="198">
        <f t="shared" si="0"/>
        <v>335.96935376415723</v>
      </c>
      <c r="I13" s="31">
        <v>192</v>
      </c>
      <c r="J13" s="31">
        <v>24</v>
      </c>
      <c r="K13" s="198">
        <f t="shared" si="1"/>
        <v>12.5</v>
      </c>
    </row>
    <row r="14" spans="1:11" ht="15">
      <c r="A14" s="138">
        <f>6!A15</f>
        <v>5</v>
      </c>
      <c r="B14" s="33" t="str">
        <f>6!B15</f>
        <v>Seruyan</v>
      </c>
      <c r="C14" s="30">
        <v>65</v>
      </c>
      <c r="D14" s="30">
        <v>65</v>
      </c>
      <c r="E14" s="30">
        <f t="shared" si="2"/>
        <v>100</v>
      </c>
      <c r="F14" s="31">
        <f>6!H15</f>
        <v>15369</v>
      </c>
      <c r="G14" s="31">
        <v>10324</v>
      </c>
      <c r="H14" s="198">
        <f t="shared" si="0"/>
        <v>67.17418179452143</v>
      </c>
      <c r="I14" s="31">
        <v>8</v>
      </c>
      <c r="J14" s="31">
        <v>8</v>
      </c>
      <c r="K14" s="198">
        <f t="shared" si="1"/>
        <v>100</v>
      </c>
    </row>
    <row r="15" spans="1:11" ht="15">
      <c r="A15" s="138">
        <f>6!A16</f>
        <v>6</v>
      </c>
      <c r="B15" s="33" t="str">
        <f>6!B16</f>
        <v>Katingan</v>
      </c>
      <c r="C15" s="30">
        <v>0</v>
      </c>
      <c r="D15" s="30">
        <v>0</v>
      </c>
      <c r="E15" s="30">
        <v>0</v>
      </c>
      <c r="F15" s="31">
        <f>6!H16</f>
        <v>13901</v>
      </c>
      <c r="G15" s="31">
        <v>10031</v>
      </c>
      <c r="H15" s="198">
        <f t="shared" si="0"/>
        <v>72.1602762391195</v>
      </c>
      <c r="I15" s="31">
        <v>136</v>
      </c>
      <c r="J15" s="31">
        <v>136</v>
      </c>
      <c r="K15" s="198">
        <f t="shared" si="1"/>
        <v>100</v>
      </c>
    </row>
    <row r="16" spans="1:11" ht="15">
      <c r="A16" s="138">
        <f>6!A17</f>
        <v>7</v>
      </c>
      <c r="B16" s="33" t="str">
        <f>6!B17</f>
        <v>Kapuas</v>
      </c>
      <c r="C16" s="138" t="s">
        <v>694</v>
      </c>
      <c r="D16" s="138" t="s">
        <v>694</v>
      </c>
      <c r="E16" s="138" t="s">
        <v>694</v>
      </c>
      <c r="F16" s="31">
        <f>6!H17</f>
        <v>35093</v>
      </c>
      <c r="G16" s="31">
        <v>24778</v>
      </c>
      <c r="H16" s="198">
        <f t="shared" si="0"/>
        <v>70.60667369560882</v>
      </c>
      <c r="I16" s="31">
        <v>21</v>
      </c>
      <c r="J16" s="31">
        <v>21</v>
      </c>
      <c r="K16" s="198">
        <f t="shared" si="1"/>
        <v>100</v>
      </c>
    </row>
    <row r="17" spans="1:11" ht="15">
      <c r="A17" s="138">
        <f>6!A18</f>
        <v>8</v>
      </c>
      <c r="B17" s="33" t="str">
        <f>6!B18</f>
        <v>Pulang Pisau</v>
      </c>
      <c r="C17" s="30">
        <v>140</v>
      </c>
      <c r="D17" s="30">
        <v>140</v>
      </c>
      <c r="E17" s="30">
        <f t="shared" si="2"/>
        <v>100</v>
      </c>
      <c r="F17" s="139">
        <v>10081</v>
      </c>
      <c r="G17" s="31">
        <v>8719</v>
      </c>
      <c r="H17" s="198">
        <f t="shared" si="0"/>
        <v>86.48943557186787</v>
      </c>
      <c r="I17" s="31">
        <v>0</v>
      </c>
      <c r="J17" s="31">
        <v>0</v>
      </c>
      <c r="K17" s="31">
        <v>0</v>
      </c>
    </row>
    <row r="18" spans="1:11" ht="15">
      <c r="A18" s="138">
        <f>6!A19</f>
        <v>9</v>
      </c>
      <c r="B18" s="33" t="str">
        <f>6!B19</f>
        <v>Gunung Mas</v>
      </c>
      <c r="C18" s="30">
        <v>71</v>
      </c>
      <c r="D18" s="30">
        <v>71</v>
      </c>
      <c r="E18" s="30">
        <f t="shared" si="2"/>
        <v>100</v>
      </c>
      <c r="F18" s="31">
        <f>6!H19</f>
        <v>8917</v>
      </c>
      <c r="G18" s="31">
        <v>7250</v>
      </c>
      <c r="H18" s="198">
        <f t="shared" si="0"/>
        <v>81.3053717618033</v>
      </c>
      <c r="I18" s="31">
        <v>3</v>
      </c>
      <c r="J18" s="31">
        <v>3</v>
      </c>
      <c r="K18" s="198">
        <f t="shared" si="1"/>
        <v>100</v>
      </c>
    </row>
    <row r="19" spans="1:11" ht="15">
      <c r="A19" s="138">
        <f>6!A20</f>
        <v>10</v>
      </c>
      <c r="B19" s="33" t="str">
        <f>6!B20</f>
        <v>Barito Selatan</v>
      </c>
      <c r="C19" s="30">
        <v>555</v>
      </c>
      <c r="D19" s="30">
        <v>555</v>
      </c>
      <c r="E19" s="30">
        <f t="shared" si="2"/>
        <v>100</v>
      </c>
      <c r="F19" s="139">
        <v>12703</v>
      </c>
      <c r="G19" s="31">
        <v>12119</v>
      </c>
      <c r="H19" s="198">
        <f t="shared" si="0"/>
        <v>95.40266078879004</v>
      </c>
      <c r="I19" s="31">
        <v>5</v>
      </c>
      <c r="J19" s="31">
        <v>5</v>
      </c>
      <c r="K19" s="198">
        <f t="shared" si="1"/>
        <v>100</v>
      </c>
    </row>
    <row r="20" spans="1:11" ht="15">
      <c r="A20" s="138">
        <f>6!A21</f>
        <v>11</v>
      </c>
      <c r="B20" s="33" t="str">
        <f>6!B21</f>
        <v>Barito Timur</v>
      </c>
      <c r="C20" s="30">
        <v>187</v>
      </c>
      <c r="D20" s="30">
        <v>0</v>
      </c>
      <c r="E20" s="30">
        <f t="shared" si="2"/>
        <v>0</v>
      </c>
      <c r="F20" s="31">
        <f>6!H21</f>
        <v>9239</v>
      </c>
      <c r="G20" s="31">
        <v>7022</v>
      </c>
      <c r="H20" s="198">
        <f t="shared" si="0"/>
        <v>76.00389652559801</v>
      </c>
      <c r="I20" s="139">
        <v>0</v>
      </c>
      <c r="J20" s="139">
        <v>0</v>
      </c>
      <c r="K20" s="31">
        <v>0</v>
      </c>
    </row>
    <row r="21" spans="1:11" ht="15">
      <c r="A21" s="138">
        <f>6!A22</f>
        <v>12</v>
      </c>
      <c r="B21" s="33" t="str">
        <f>6!B22</f>
        <v>Barito Utara</v>
      </c>
      <c r="C21" s="30">
        <v>304</v>
      </c>
      <c r="D21" s="30">
        <v>304</v>
      </c>
      <c r="E21" s="30">
        <f t="shared" si="2"/>
        <v>100</v>
      </c>
      <c r="F21" s="31">
        <f>6!H22</f>
        <v>11518</v>
      </c>
      <c r="G21" s="31">
        <v>9600</v>
      </c>
      <c r="H21" s="198">
        <f t="shared" si="0"/>
        <v>83.34780343809689</v>
      </c>
      <c r="I21" s="31">
        <v>1</v>
      </c>
      <c r="J21" s="31">
        <v>1</v>
      </c>
      <c r="K21" s="198">
        <f t="shared" si="1"/>
        <v>100</v>
      </c>
    </row>
    <row r="22" spans="1:11" ht="15">
      <c r="A22" s="138">
        <f>6!A23</f>
        <v>13</v>
      </c>
      <c r="B22" s="33" t="str">
        <f>6!B23</f>
        <v>Murung Raya</v>
      </c>
      <c r="C22" s="30">
        <v>127</v>
      </c>
      <c r="D22" s="30">
        <v>127</v>
      </c>
      <c r="E22" s="30">
        <f t="shared" si="2"/>
        <v>100</v>
      </c>
      <c r="F22" s="31">
        <f>6!H23</f>
        <v>9744</v>
      </c>
      <c r="G22" s="31">
        <v>7502</v>
      </c>
      <c r="H22" s="198">
        <f t="shared" si="0"/>
        <v>76.99096880131363</v>
      </c>
      <c r="I22" s="31">
        <v>3</v>
      </c>
      <c r="J22" s="31">
        <v>3</v>
      </c>
      <c r="K22" s="198">
        <f t="shared" si="1"/>
        <v>100</v>
      </c>
    </row>
    <row r="23" spans="1:11" ht="15">
      <c r="A23" s="138">
        <f>6!A24</f>
        <v>14</v>
      </c>
      <c r="B23" s="33" t="str">
        <f>6!B24</f>
        <v>Palangka Raya</v>
      </c>
      <c r="C23" s="30">
        <v>138</v>
      </c>
      <c r="D23" s="30">
        <v>138</v>
      </c>
      <c r="E23" s="30">
        <f t="shared" si="2"/>
        <v>100</v>
      </c>
      <c r="F23" s="31">
        <f>6!H24</f>
        <v>19919</v>
      </c>
      <c r="G23" s="31">
        <v>15897</v>
      </c>
      <c r="H23" s="198">
        <f t="shared" si="0"/>
        <v>79.80822330438275</v>
      </c>
      <c r="I23" s="31">
        <v>3</v>
      </c>
      <c r="J23" s="31">
        <v>3</v>
      </c>
      <c r="K23" s="198">
        <f t="shared" si="1"/>
        <v>100</v>
      </c>
    </row>
    <row r="24" spans="1:11" ht="15">
      <c r="A24" s="30"/>
      <c r="B24" s="33"/>
      <c r="C24" s="30"/>
      <c r="D24" s="30"/>
      <c r="E24" s="30"/>
      <c r="F24" s="31"/>
      <c r="G24" s="31"/>
      <c r="H24" s="198"/>
      <c r="I24" s="31"/>
      <c r="J24" s="31"/>
      <c r="K24" s="198"/>
    </row>
    <row r="25" spans="1:11" ht="19.5" customHeight="1" thickBot="1">
      <c r="A25" s="165" t="s">
        <v>859</v>
      </c>
      <c r="B25" s="69"/>
      <c r="C25" s="37">
        <f>SUM(C10:C24)</f>
        <v>2051</v>
      </c>
      <c r="D25" s="37">
        <f>SUM(D10:D24)</f>
        <v>1826</v>
      </c>
      <c r="E25" s="191">
        <f t="shared" si="2"/>
        <v>89.02974158946854</v>
      </c>
      <c r="F25" s="41">
        <f>SUM(F10:F24)</f>
        <v>200833</v>
      </c>
      <c r="G25" s="41">
        <f>SUM(G10:G24)</f>
        <v>238858</v>
      </c>
      <c r="H25" s="200">
        <f t="shared" si="0"/>
        <v>118.93364138363715</v>
      </c>
      <c r="I25" s="41">
        <f>SUM(I10:I24)</f>
        <v>386</v>
      </c>
      <c r="J25" s="41">
        <f>SUM(J10:J24)</f>
        <v>218</v>
      </c>
      <c r="K25" s="200">
        <f t="shared" si="1"/>
        <v>56.476683937823836</v>
      </c>
    </row>
    <row r="26" spans="1:8" ht="15">
      <c r="A26" s="18"/>
      <c r="B26" s="18"/>
      <c r="F26" s="18"/>
      <c r="G26" s="18"/>
      <c r="H26" s="18"/>
    </row>
    <row r="27" ht="15">
      <c r="A27" s="525" t="s">
        <v>243</v>
      </c>
    </row>
    <row r="28" spans="1:11" ht="15">
      <c r="A28" s="14" t="s">
        <v>694</v>
      </c>
      <c r="B28" s="390" t="s">
        <v>965</v>
      </c>
      <c r="K28" s="511"/>
    </row>
  </sheetData>
  <mergeCells count="5">
    <mergeCell ref="A3:K3"/>
    <mergeCell ref="A7:A8"/>
    <mergeCell ref="B7:B8"/>
    <mergeCell ref="A4:K4"/>
    <mergeCell ref="A5:K5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82" r:id="rId1"/>
  <headerFooter alignWithMargins="0">
    <oddFooter>&amp;C81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M28"/>
  <sheetViews>
    <sheetView workbookViewId="0" topLeftCell="A1">
      <selection activeCell="C7" sqref="C7:C8"/>
    </sheetView>
  </sheetViews>
  <sheetFormatPr defaultColWidth="9.140625" defaultRowHeight="12.75"/>
  <cols>
    <col min="1" max="1" width="5.7109375" style="14" customWidth="1"/>
    <col min="2" max="2" width="21.7109375" style="14" customWidth="1"/>
    <col min="3" max="3" width="13.8515625" style="14" customWidth="1"/>
    <col min="4" max="4" width="12.7109375" style="14" customWidth="1"/>
    <col min="5" max="5" width="8.7109375" style="14" customWidth="1"/>
    <col min="6" max="6" width="12.00390625" style="14" customWidth="1"/>
    <col min="7" max="7" width="8.7109375" style="14" customWidth="1"/>
    <col min="8" max="16384" width="9.140625" style="14" customWidth="1"/>
  </cols>
  <sheetData>
    <row r="1" ht="15">
      <c r="A1" s="13" t="s">
        <v>292</v>
      </c>
    </row>
    <row r="3" spans="1:7" ht="15">
      <c r="A3" s="641" t="s">
        <v>545</v>
      </c>
      <c r="B3" s="641"/>
      <c r="C3" s="641"/>
      <c r="D3" s="641"/>
      <c r="E3" s="641"/>
      <c r="F3" s="641"/>
      <c r="G3" s="641"/>
    </row>
    <row r="4" spans="1:7" ht="15">
      <c r="A4" s="641" t="s">
        <v>973</v>
      </c>
      <c r="B4" s="641"/>
      <c r="C4" s="641"/>
      <c r="D4" s="641"/>
      <c r="E4" s="641"/>
      <c r="F4" s="641"/>
      <c r="G4" s="641"/>
    </row>
    <row r="5" spans="1:7" ht="15">
      <c r="A5" s="641" t="str">
        <f>1!A6:E6</f>
        <v>TAHUN 2009</v>
      </c>
      <c r="B5" s="641"/>
      <c r="C5" s="641"/>
      <c r="D5" s="641"/>
      <c r="E5" s="641"/>
      <c r="F5" s="641"/>
      <c r="G5" s="641"/>
    </row>
    <row r="6" spans="9:13" ht="15.75" thickBot="1">
      <c r="I6" s="133"/>
      <c r="J6" s="133"/>
      <c r="K6" s="133"/>
      <c r="L6" s="133"/>
      <c r="M6" s="133"/>
    </row>
    <row r="7" spans="1:13" ht="19.5" customHeight="1">
      <c r="A7" s="634" t="s">
        <v>2</v>
      </c>
      <c r="B7" s="663" t="s">
        <v>844</v>
      </c>
      <c r="C7" s="665" t="s">
        <v>134</v>
      </c>
      <c r="D7" s="44" t="s">
        <v>135</v>
      </c>
      <c r="E7" s="44"/>
      <c r="F7" s="44" t="s">
        <v>470</v>
      </c>
      <c r="G7" s="44"/>
      <c r="I7" s="133"/>
      <c r="J7" s="133"/>
      <c r="K7" s="133"/>
      <c r="L7" s="133"/>
      <c r="M7" s="133"/>
    </row>
    <row r="8" spans="1:7" ht="19.5" customHeight="1">
      <c r="A8" s="636"/>
      <c r="B8" s="664"/>
      <c r="C8" s="666"/>
      <c r="D8" s="11" t="s">
        <v>109</v>
      </c>
      <c r="E8" s="11" t="s">
        <v>27</v>
      </c>
      <c r="F8" s="11" t="s">
        <v>109</v>
      </c>
      <c r="G8" s="11" t="s">
        <v>27</v>
      </c>
    </row>
    <row r="9" spans="1:7" ht="15">
      <c r="A9" s="11">
        <v>1</v>
      </c>
      <c r="B9" s="194">
        <v>2</v>
      </c>
      <c r="C9" s="194">
        <v>4</v>
      </c>
      <c r="D9" s="11">
        <v>5</v>
      </c>
      <c r="E9" s="194">
        <v>6</v>
      </c>
      <c r="F9" s="11">
        <v>7</v>
      </c>
      <c r="G9" s="194">
        <v>8</v>
      </c>
    </row>
    <row r="10" spans="1:7" ht="15">
      <c r="A10" s="138">
        <f>6!A11</f>
        <v>1</v>
      </c>
      <c r="B10" s="33" t="str">
        <f>6!B11</f>
        <v>Kotawaringin Barat</v>
      </c>
      <c r="C10" s="31">
        <f>'17'!C11</f>
        <v>5703</v>
      </c>
      <c r="D10" s="31">
        <v>4910</v>
      </c>
      <c r="E10" s="444">
        <f>D10/C10*100</f>
        <v>86.09503769945643</v>
      </c>
      <c r="F10" s="445">
        <v>4436</v>
      </c>
      <c r="G10" s="444">
        <f>F10/C10*100</f>
        <v>77.78362265474313</v>
      </c>
    </row>
    <row r="11" spans="1:7" ht="15">
      <c r="A11" s="138">
        <f>6!A12</f>
        <v>2</v>
      </c>
      <c r="B11" s="33" t="str">
        <f>6!B12</f>
        <v>Lamandau</v>
      </c>
      <c r="C11" s="31">
        <f>'17'!C12</f>
        <v>1830</v>
      </c>
      <c r="D11" s="31">
        <v>1379</v>
      </c>
      <c r="E11" s="444">
        <f aca="true" t="shared" si="0" ref="E11:E25">D11/C11*100</f>
        <v>75.3551912568306</v>
      </c>
      <c r="F11" s="445">
        <v>1187</v>
      </c>
      <c r="G11" s="444">
        <f aca="true" t="shared" si="1" ref="G11:G25">F11/C11*100</f>
        <v>64.86338797814207</v>
      </c>
    </row>
    <row r="12" spans="1:7" ht="15">
      <c r="A12" s="138">
        <f>6!A13</f>
        <v>3</v>
      </c>
      <c r="B12" s="33" t="str">
        <f>6!B13</f>
        <v>Sukamara</v>
      </c>
      <c r="C12" s="31">
        <f>'17'!C13</f>
        <v>1155</v>
      </c>
      <c r="D12" s="31">
        <v>963</v>
      </c>
      <c r="E12" s="444">
        <f t="shared" si="0"/>
        <v>83.37662337662337</v>
      </c>
      <c r="F12" s="445">
        <v>853</v>
      </c>
      <c r="G12" s="444">
        <f t="shared" si="1"/>
        <v>73.85281385281385</v>
      </c>
    </row>
    <row r="13" spans="1:7" ht="15">
      <c r="A13" s="138">
        <f>6!A14</f>
        <v>4</v>
      </c>
      <c r="B13" s="33" t="str">
        <f>6!B14</f>
        <v>Kotawaringin Timur</v>
      </c>
      <c r="C13" s="31">
        <f>'17'!C14</f>
        <v>8753</v>
      </c>
      <c r="D13" s="31">
        <v>8083</v>
      </c>
      <c r="E13" s="444">
        <f t="shared" si="0"/>
        <v>92.34548154918313</v>
      </c>
      <c r="F13" s="445">
        <v>0</v>
      </c>
      <c r="G13" s="444">
        <f t="shared" si="1"/>
        <v>0</v>
      </c>
    </row>
    <row r="14" spans="1:7" ht="15">
      <c r="A14" s="138">
        <f>6!A15</f>
        <v>5</v>
      </c>
      <c r="B14" s="33" t="str">
        <f>6!B15</f>
        <v>Seruyan</v>
      </c>
      <c r="C14" s="31">
        <f>'17'!C15</f>
        <v>4053</v>
      </c>
      <c r="D14" s="31">
        <v>3358</v>
      </c>
      <c r="E14" s="444">
        <f t="shared" si="0"/>
        <v>82.85220824080928</v>
      </c>
      <c r="F14" s="445">
        <v>2924</v>
      </c>
      <c r="G14" s="444">
        <f t="shared" si="1"/>
        <v>72.14409079694055</v>
      </c>
    </row>
    <row r="15" spans="1:7" ht="15">
      <c r="A15" s="138">
        <f>6!A16</f>
        <v>6</v>
      </c>
      <c r="B15" s="33" t="str">
        <f>6!B16</f>
        <v>Katingan</v>
      </c>
      <c r="C15" s="31">
        <f>'17'!C16</f>
        <v>3776</v>
      </c>
      <c r="D15" s="31">
        <v>3420</v>
      </c>
      <c r="E15" s="444">
        <f t="shared" si="0"/>
        <v>90.57203389830508</v>
      </c>
      <c r="F15" s="445">
        <v>2849</v>
      </c>
      <c r="G15" s="444">
        <f t="shared" si="1"/>
        <v>75.45021186440678</v>
      </c>
    </row>
    <row r="16" spans="1:7" ht="15">
      <c r="A16" s="138">
        <f>6!A17</f>
        <v>7</v>
      </c>
      <c r="B16" s="33" t="str">
        <f>6!B17</f>
        <v>Kapuas</v>
      </c>
      <c r="C16" s="31">
        <f>'17'!C17</f>
        <v>10981</v>
      </c>
      <c r="D16" s="31">
        <v>7639</v>
      </c>
      <c r="E16" s="444">
        <f t="shared" si="0"/>
        <v>69.56561333211911</v>
      </c>
      <c r="F16" s="445">
        <v>7528</v>
      </c>
      <c r="G16" s="444">
        <f t="shared" si="1"/>
        <v>68.55477643201894</v>
      </c>
    </row>
    <row r="17" spans="1:7" ht="15">
      <c r="A17" s="138">
        <f>6!A18</f>
        <v>8</v>
      </c>
      <c r="B17" s="33" t="str">
        <f>6!B18</f>
        <v>Pulang Pisau</v>
      </c>
      <c r="C17" s="31">
        <f>'17'!C18</f>
        <v>3325</v>
      </c>
      <c r="D17" s="31">
        <v>3172</v>
      </c>
      <c r="E17" s="444">
        <f t="shared" si="0"/>
        <v>95.3984962406015</v>
      </c>
      <c r="F17" s="445">
        <v>3017</v>
      </c>
      <c r="G17" s="444">
        <f t="shared" si="1"/>
        <v>90.73684210526316</v>
      </c>
    </row>
    <row r="18" spans="1:7" ht="15">
      <c r="A18" s="138">
        <f>6!A19</f>
        <v>9</v>
      </c>
      <c r="B18" s="33" t="str">
        <f>6!B19</f>
        <v>Gunung Mas</v>
      </c>
      <c r="C18" s="31">
        <f>'17'!C19</f>
        <v>2422</v>
      </c>
      <c r="D18" s="31">
        <v>2264</v>
      </c>
      <c r="E18" s="444">
        <f t="shared" si="0"/>
        <v>93.476465730801</v>
      </c>
      <c r="F18" s="445">
        <v>2132</v>
      </c>
      <c r="G18" s="444">
        <f t="shared" si="1"/>
        <v>88.02642444260943</v>
      </c>
    </row>
    <row r="19" spans="1:7" ht="15">
      <c r="A19" s="138">
        <f>6!A20</f>
        <v>10</v>
      </c>
      <c r="B19" s="33" t="str">
        <f>6!B20</f>
        <v>Barito Selatan</v>
      </c>
      <c r="C19" s="31">
        <f>'17'!C20</f>
        <v>3091</v>
      </c>
      <c r="D19" s="31">
        <v>2676</v>
      </c>
      <c r="E19" s="444">
        <f t="shared" si="0"/>
        <v>86.57392429634423</v>
      </c>
      <c r="F19" s="445">
        <v>2577</v>
      </c>
      <c r="G19" s="444">
        <f t="shared" si="1"/>
        <v>83.37107732125526</v>
      </c>
    </row>
    <row r="20" spans="1:7" ht="15">
      <c r="A20" s="138">
        <f>6!A21</f>
        <v>11</v>
      </c>
      <c r="B20" s="33" t="str">
        <f>6!B21</f>
        <v>Barito Timur</v>
      </c>
      <c r="C20" s="31">
        <f>'17'!C21</f>
        <v>2369</v>
      </c>
      <c r="D20" s="31">
        <v>1830</v>
      </c>
      <c r="E20" s="444">
        <f t="shared" si="0"/>
        <v>77.24778387505276</v>
      </c>
      <c r="F20" s="445">
        <v>1701</v>
      </c>
      <c r="G20" s="444">
        <f t="shared" si="1"/>
        <v>71.8024482904179</v>
      </c>
    </row>
    <row r="21" spans="1:7" ht="15">
      <c r="A21" s="138">
        <f>6!A22</f>
        <v>12</v>
      </c>
      <c r="B21" s="33" t="str">
        <f>6!B22</f>
        <v>Barito Utara</v>
      </c>
      <c r="C21" s="31">
        <f>'17'!C22</f>
        <v>3131</v>
      </c>
      <c r="D21" s="31">
        <v>2384</v>
      </c>
      <c r="E21" s="444">
        <f t="shared" si="0"/>
        <v>76.14180772916002</v>
      </c>
      <c r="F21" s="445">
        <v>1997</v>
      </c>
      <c r="G21" s="444">
        <f t="shared" si="1"/>
        <v>63.78153944426701</v>
      </c>
    </row>
    <row r="22" spans="1:7" ht="15">
      <c r="A22" s="138">
        <f>6!A23</f>
        <v>13</v>
      </c>
      <c r="B22" s="33" t="str">
        <f>6!B23</f>
        <v>Murung Raya</v>
      </c>
      <c r="C22" s="31">
        <f>'17'!C23</f>
        <v>2668</v>
      </c>
      <c r="D22" s="31">
        <v>1995</v>
      </c>
      <c r="E22" s="444">
        <f t="shared" si="0"/>
        <v>74.77511244377811</v>
      </c>
      <c r="F22" s="445">
        <v>1815</v>
      </c>
      <c r="G22" s="444">
        <f t="shared" si="1"/>
        <v>68.02848575712144</v>
      </c>
    </row>
    <row r="23" spans="1:7" ht="15">
      <c r="A23" s="138">
        <f>6!A24</f>
        <v>14</v>
      </c>
      <c r="B23" s="33" t="str">
        <f>6!B24</f>
        <v>Palangka Raya</v>
      </c>
      <c r="C23" s="31">
        <f>'17'!C24</f>
        <v>5151</v>
      </c>
      <c r="D23" s="31">
        <v>4085</v>
      </c>
      <c r="E23" s="444">
        <f t="shared" si="0"/>
        <v>79.30498932246167</v>
      </c>
      <c r="F23" s="445">
        <v>3660</v>
      </c>
      <c r="G23" s="444">
        <f t="shared" si="1"/>
        <v>71.05416423995341</v>
      </c>
    </row>
    <row r="24" spans="1:7" ht="15">
      <c r="A24" s="30"/>
      <c r="B24" s="33"/>
      <c r="C24" s="31"/>
      <c r="D24" s="31"/>
      <c r="E24" s="444"/>
      <c r="F24" s="445"/>
      <c r="G24" s="444"/>
    </row>
    <row r="25" spans="1:7" ht="19.5" customHeight="1" thickBot="1">
      <c r="A25" s="165" t="s">
        <v>859</v>
      </c>
      <c r="B25" s="121"/>
      <c r="C25" s="41">
        <f>SUM(C10:C24)</f>
        <v>58408</v>
      </c>
      <c r="D25" s="41">
        <f>SUM(D10:D24)</f>
        <v>48158</v>
      </c>
      <c r="E25" s="446">
        <f t="shared" si="0"/>
        <v>82.45103410491713</v>
      </c>
      <c r="F25" s="298">
        <f>SUM(F10:F24)</f>
        <v>36676</v>
      </c>
      <c r="G25" s="446">
        <f t="shared" si="1"/>
        <v>62.79276811395699</v>
      </c>
    </row>
    <row r="26" spans="1:7" ht="15">
      <c r="A26" s="18"/>
      <c r="B26" s="18"/>
      <c r="C26" s="18"/>
      <c r="D26" s="18"/>
      <c r="E26" s="18"/>
      <c r="F26" s="18"/>
      <c r="G26" s="18"/>
    </row>
    <row r="27" ht="15">
      <c r="A27" s="525" t="s">
        <v>243</v>
      </c>
    </row>
    <row r="28" ht="15">
      <c r="G28" s="511"/>
    </row>
  </sheetData>
  <mergeCells count="6">
    <mergeCell ref="B7:B8"/>
    <mergeCell ref="C7:C8"/>
    <mergeCell ref="A7:A8"/>
    <mergeCell ref="A3:G3"/>
    <mergeCell ref="A4:G4"/>
    <mergeCell ref="A5:G5"/>
  </mergeCells>
  <printOptions horizontalCentered="1"/>
  <pageMargins left="1.6929133858267718" right="0.9055118110236221" top="0.7874015748031497" bottom="1.141732283464567" header="0" footer="1.1811023622047245"/>
  <pageSetup fitToHeight="1" fitToWidth="1" horizontalDpi="300" verticalDpi="300" orientation="landscape" paperSize="9" r:id="rId1"/>
  <headerFooter alignWithMargins="0">
    <oddFooter>&amp;C82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S31"/>
  <sheetViews>
    <sheetView view="pageBreakPreview" zoomScale="60" workbookViewId="0" topLeftCell="A1">
      <selection activeCell="G11" sqref="G11"/>
    </sheetView>
  </sheetViews>
  <sheetFormatPr defaultColWidth="9.140625" defaultRowHeight="12.75"/>
  <cols>
    <col min="1" max="1" width="5.7109375" style="14" customWidth="1"/>
    <col min="2" max="2" width="21.7109375" style="14" customWidth="1"/>
    <col min="3" max="3" width="13.00390625" style="14" customWidth="1"/>
    <col min="4" max="4" width="11.140625" style="14" customWidth="1"/>
    <col min="5" max="5" width="8.421875" style="14" customWidth="1"/>
    <col min="6" max="6" width="9.7109375" style="14" bestFit="1" customWidth="1"/>
    <col min="7" max="7" width="8.140625" style="14" customWidth="1"/>
    <col min="8" max="8" width="9.00390625" style="14" customWidth="1"/>
    <col min="9" max="9" width="8.28125" style="14" customWidth="1"/>
    <col min="10" max="10" width="9.28125" style="14" customWidth="1"/>
    <col min="11" max="11" width="8.421875" style="14" customWidth="1"/>
    <col min="12" max="12" width="9.28125" style="14" bestFit="1" customWidth="1"/>
    <col min="13" max="13" width="8.8515625" style="14" customWidth="1"/>
    <col min="14" max="16384" width="9.140625" style="14" customWidth="1"/>
  </cols>
  <sheetData>
    <row r="1" ht="15">
      <c r="A1" s="13" t="s">
        <v>293</v>
      </c>
    </row>
    <row r="3" spans="1:13" ht="15">
      <c r="A3" s="641" t="s">
        <v>551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</row>
    <row r="4" spans="1:13" ht="15">
      <c r="A4" s="641" t="s">
        <v>974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</row>
    <row r="5" spans="1:13" ht="15">
      <c r="A5" s="641" t="str">
        <f>1!A6:E6</f>
        <v>TAHUN 2009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</row>
    <row r="6" spans="15:19" ht="15.75" thickBot="1">
      <c r="O6" s="133"/>
      <c r="P6" s="133"/>
      <c r="Q6" s="133"/>
      <c r="R6" s="133"/>
      <c r="S6" s="133"/>
    </row>
    <row r="7" spans="1:19" ht="19.5" customHeight="1">
      <c r="A7" s="634" t="s">
        <v>2</v>
      </c>
      <c r="B7" s="663" t="s">
        <v>844</v>
      </c>
      <c r="C7" s="667" t="s">
        <v>554</v>
      </c>
      <c r="D7" s="580" t="s">
        <v>555</v>
      </c>
      <c r="E7" s="556"/>
      <c r="F7" s="580" t="s">
        <v>556</v>
      </c>
      <c r="G7" s="556"/>
      <c r="H7" s="580" t="s">
        <v>557</v>
      </c>
      <c r="I7" s="556"/>
      <c r="J7" s="44" t="s">
        <v>558</v>
      </c>
      <c r="K7" s="44"/>
      <c r="L7" s="44" t="s">
        <v>559</v>
      </c>
      <c r="M7" s="44"/>
      <c r="O7" s="133"/>
      <c r="P7" s="133"/>
      <c r="Q7" s="133"/>
      <c r="R7" s="133"/>
      <c r="S7" s="133"/>
    </row>
    <row r="8" spans="1:13" ht="19.5" customHeight="1">
      <c r="A8" s="636"/>
      <c r="B8" s="664"/>
      <c r="C8" s="668"/>
      <c r="D8" s="124" t="s">
        <v>82</v>
      </c>
      <c r="E8" s="124" t="s">
        <v>27</v>
      </c>
      <c r="F8" s="124" t="s">
        <v>82</v>
      </c>
      <c r="G8" s="124" t="s">
        <v>27</v>
      </c>
      <c r="H8" s="124" t="s">
        <v>82</v>
      </c>
      <c r="I8" s="124" t="s">
        <v>27</v>
      </c>
      <c r="J8" s="124" t="s">
        <v>82</v>
      </c>
      <c r="K8" s="124" t="s">
        <v>27</v>
      </c>
      <c r="L8" s="124" t="s">
        <v>82</v>
      </c>
      <c r="M8" s="124" t="s">
        <v>27</v>
      </c>
    </row>
    <row r="9" spans="1:13" ht="15">
      <c r="A9" s="11">
        <v>1</v>
      </c>
      <c r="B9" s="194">
        <v>2</v>
      </c>
      <c r="C9" s="163">
        <v>4</v>
      </c>
      <c r="D9" s="11">
        <v>5</v>
      </c>
      <c r="E9" s="194">
        <v>6</v>
      </c>
      <c r="F9" s="194">
        <v>7</v>
      </c>
      <c r="G9" s="194">
        <v>8</v>
      </c>
      <c r="H9" s="194">
        <v>9</v>
      </c>
      <c r="I9" s="194">
        <v>10</v>
      </c>
      <c r="J9" s="194">
        <v>11</v>
      </c>
      <c r="K9" s="194">
        <v>12</v>
      </c>
      <c r="L9" s="11">
        <v>13</v>
      </c>
      <c r="M9" s="194">
        <v>14</v>
      </c>
    </row>
    <row r="10" spans="1:13" ht="15">
      <c r="A10" s="138">
        <f>6!A11</f>
        <v>1</v>
      </c>
      <c r="B10" s="33" t="str">
        <f>6!B11</f>
        <v>Kotawaringin Barat</v>
      </c>
      <c r="C10" s="139">
        <v>38685</v>
      </c>
      <c r="D10" s="31">
        <v>6489</v>
      </c>
      <c r="E10" s="474">
        <f>+D10/C10*100</f>
        <v>16.773943388910432</v>
      </c>
      <c r="F10" s="445">
        <v>4754</v>
      </c>
      <c r="G10" s="474">
        <f>+F10/C10*100</f>
        <v>12.28900090474344</v>
      </c>
      <c r="H10" s="445">
        <v>531</v>
      </c>
      <c r="I10" s="474">
        <f>+H10/C10*100</f>
        <v>1.3726250484683986</v>
      </c>
      <c r="J10" s="445">
        <v>456</v>
      </c>
      <c r="K10" s="444">
        <f aca="true" t="shared" si="0" ref="K10:K25">J10/C10*100</f>
        <v>1.1787514540519581</v>
      </c>
      <c r="L10" s="445">
        <v>182</v>
      </c>
      <c r="M10" s="444">
        <f aca="true" t="shared" si="1" ref="M10:M25">L10/C10*100</f>
        <v>0.4704665891172289</v>
      </c>
    </row>
    <row r="11" spans="1:13" ht="15">
      <c r="A11" s="138">
        <f>6!A12</f>
        <v>2</v>
      </c>
      <c r="B11" s="33" t="str">
        <f>6!B12</f>
        <v>Lamandau</v>
      </c>
      <c r="C11" s="139">
        <v>16487</v>
      </c>
      <c r="D11" s="31">
        <v>1217</v>
      </c>
      <c r="E11" s="474">
        <f aca="true" t="shared" si="2" ref="E11:E23">+D11/C11*100</f>
        <v>7.381573360829745</v>
      </c>
      <c r="F11" s="445">
        <v>1056</v>
      </c>
      <c r="G11" s="474">
        <f aca="true" t="shared" si="3" ref="G11:G23">+F11/C11*100</f>
        <v>6.405046400194092</v>
      </c>
      <c r="H11" s="488">
        <v>0</v>
      </c>
      <c r="I11" s="626">
        <f aca="true" t="shared" si="4" ref="I11:I23">+H11/C11*100</f>
        <v>0</v>
      </c>
      <c r="J11" s="488">
        <v>0</v>
      </c>
      <c r="K11" s="288">
        <f t="shared" si="0"/>
        <v>0</v>
      </c>
      <c r="L11" s="488">
        <v>0</v>
      </c>
      <c r="M11" s="288">
        <f t="shared" si="1"/>
        <v>0</v>
      </c>
    </row>
    <row r="12" spans="1:13" ht="15">
      <c r="A12" s="138">
        <f>6!A13</f>
        <v>3</v>
      </c>
      <c r="B12" s="33" t="str">
        <f>6!B13</f>
        <v>Sukamara</v>
      </c>
      <c r="C12" s="139">
        <v>9874</v>
      </c>
      <c r="D12" s="31">
        <v>963</v>
      </c>
      <c r="E12" s="474">
        <f t="shared" si="2"/>
        <v>9.752886368239821</v>
      </c>
      <c r="F12" s="445">
        <v>853</v>
      </c>
      <c r="G12" s="475">
        <f t="shared" si="3"/>
        <v>8.638849503747215</v>
      </c>
      <c r="H12" s="445">
        <v>0</v>
      </c>
      <c r="I12" s="627">
        <f t="shared" si="4"/>
        <v>0</v>
      </c>
      <c r="J12" s="445">
        <v>0</v>
      </c>
      <c r="K12" s="444">
        <f t="shared" si="0"/>
        <v>0</v>
      </c>
      <c r="L12" s="445">
        <v>0</v>
      </c>
      <c r="M12" s="444">
        <f t="shared" si="1"/>
        <v>0</v>
      </c>
    </row>
    <row r="13" spans="1:13" ht="15">
      <c r="A13" s="138">
        <f>6!A14</f>
        <v>4</v>
      </c>
      <c r="B13" s="33" t="str">
        <f>6!B14</f>
        <v>Kotawaringin Timur</v>
      </c>
      <c r="C13" s="139">
        <v>87733</v>
      </c>
      <c r="D13" s="31">
        <v>0</v>
      </c>
      <c r="E13" s="474">
        <f t="shared" si="2"/>
        <v>0</v>
      </c>
      <c r="F13" s="445">
        <v>0</v>
      </c>
      <c r="G13" s="474">
        <f t="shared" si="3"/>
        <v>0</v>
      </c>
      <c r="H13" s="445">
        <v>0</v>
      </c>
      <c r="I13" s="627">
        <f t="shared" si="4"/>
        <v>0</v>
      </c>
      <c r="J13" s="445">
        <v>0</v>
      </c>
      <c r="K13" s="444">
        <f t="shared" si="0"/>
        <v>0</v>
      </c>
      <c r="L13" s="445">
        <v>0</v>
      </c>
      <c r="M13" s="444">
        <f t="shared" si="1"/>
        <v>0</v>
      </c>
    </row>
    <row r="14" spans="1:13" ht="15">
      <c r="A14" s="138">
        <f>6!A15</f>
        <v>5</v>
      </c>
      <c r="B14" s="33" t="str">
        <f>6!B15</f>
        <v>Seruyan</v>
      </c>
      <c r="C14" s="139">
        <v>4053</v>
      </c>
      <c r="D14" s="31">
        <v>3441</v>
      </c>
      <c r="E14" s="447">
        <f t="shared" si="2"/>
        <v>84.90007401924501</v>
      </c>
      <c r="F14" s="445">
        <v>3073</v>
      </c>
      <c r="G14" s="447">
        <f t="shared" si="3"/>
        <v>75.82037996545769</v>
      </c>
      <c r="H14" s="445">
        <v>0</v>
      </c>
      <c r="I14" s="627">
        <f t="shared" si="4"/>
        <v>0</v>
      </c>
      <c r="J14" s="445">
        <v>0</v>
      </c>
      <c r="K14" s="444">
        <f t="shared" si="0"/>
        <v>0</v>
      </c>
      <c r="L14" s="445">
        <v>0</v>
      </c>
      <c r="M14" s="444">
        <f t="shared" si="1"/>
        <v>0</v>
      </c>
    </row>
    <row r="15" spans="1:13" ht="15">
      <c r="A15" s="138">
        <f>6!A16</f>
        <v>6</v>
      </c>
      <c r="B15" s="33" t="str">
        <f>6!B16</f>
        <v>Katingan</v>
      </c>
      <c r="C15" s="607" t="s">
        <v>694</v>
      </c>
      <c r="D15" s="607" t="s">
        <v>694</v>
      </c>
      <c r="E15" s="607" t="s">
        <v>694</v>
      </c>
      <c r="F15" s="607" t="s">
        <v>694</v>
      </c>
      <c r="G15" s="607" t="s">
        <v>694</v>
      </c>
      <c r="H15" s="607" t="s">
        <v>694</v>
      </c>
      <c r="I15" s="607" t="s">
        <v>694</v>
      </c>
      <c r="J15" s="607" t="s">
        <v>694</v>
      </c>
      <c r="K15" s="607" t="s">
        <v>694</v>
      </c>
      <c r="L15" s="607" t="s">
        <v>694</v>
      </c>
      <c r="M15" s="607" t="s">
        <v>694</v>
      </c>
    </row>
    <row r="16" spans="1:13" ht="15">
      <c r="A16" s="138">
        <f>6!A17</f>
        <v>7</v>
      </c>
      <c r="B16" s="33" t="str">
        <f>6!B17</f>
        <v>Kapuas</v>
      </c>
      <c r="C16" s="139">
        <v>10981</v>
      </c>
      <c r="D16" s="31">
        <v>7989</v>
      </c>
      <c r="E16" s="474">
        <f t="shared" si="2"/>
        <v>72.75293689099354</v>
      </c>
      <c r="F16" s="445">
        <v>7450</v>
      </c>
      <c r="G16" s="474">
        <f t="shared" si="3"/>
        <v>67.84445861032692</v>
      </c>
      <c r="H16" s="445">
        <v>0</v>
      </c>
      <c r="I16" s="627">
        <f t="shared" si="4"/>
        <v>0</v>
      </c>
      <c r="J16" s="445">
        <v>0</v>
      </c>
      <c r="K16" s="444">
        <f t="shared" si="0"/>
        <v>0</v>
      </c>
      <c r="L16" s="445">
        <v>0</v>
      </c>
      <c r="M16" s="444">
        <f t="shared" si="1"/>
        <v>0</v>
      </c>
    </row>
    <row r="17" spans="1:13" ht="15">
      <c r="A17" s="138">
        <f>6!A18</f>
        <v>8</v>
      </c>
      <c r="B17" s="33" t="str">
        <f>6!B18</f>
        <v>Pulang Pisau</v>
      </c>
      <c r="C17" s="139">
        <v>29708</v>
      </c>
      <c r="D17" s="31">
        <v>4241</v>
      </c>
      <c r="E17" s="474">
        <f t="shared" si="2"/>
        <v>14.275615995691396</v>
      </c>
      <c r="F17" s="445">
        <v>3203</v>
      </c>
      <c r="G17" s="447">
        <f t="shared" si="3"/>
        <v>10.781607647771645</v>
      </c>
      <c r="H17" s="445">
        <v>0</v>
      </c>
      <c r="I17" s="627">
        <f t="shared" si="4"/>
        <v>0</v>
      </c>
      <c r="J17" s="445">
        <v>0</v>
      </c>
      <c r="K17" s="444">
        <f t="shared" si="0"/>
        <v>0</v>
      </c>
      <c r="L17" s="445">
        <v>0</v>
      </c>
      <c r="M17" s="444">
        <f t="shared" si="1"/>
        <v>0</v>
      </c>
    </row>
    <row r="18" spans="1:13" ht="15">
      <c r="A18" s="138">
        <f>6!A19</f>
        <v>9</v>
      </c>
      <c r="B18" s="33" t="str">
        <f>6!B19</f>
        <v>Gunung Mas</v>
      </c>
      <c r="C18" s="139">
        <v>2873</v>
      </c>
      <c r="D18" s="31">
        <v>2156</v>
      </c>
      <c r="E18" s="474">
        <f t="shared" si="2"/>
        <v>75.04350852767142</v>
      </c>
      <c r="F18" s="445">
        <v>2176</v>
      </c>
      <c r="G18" s="474">
        <f t="shared" si="3"/>
        <v>75.7396449704142</v>
      </c>
      <c r="H18" s="445">
        <v>1053</v>
      </c>
      <c r="I18" s="474">
        <f t="shared" si="4"/>
        <v>36.65158371040724</v>
      </c>
      <c r="J18" s="445">
        <v>0</v>
      </c>
      <c r="K18" s="444">
        <f t="shared" si="0"/>
        <v>0</v>
      </c>
      <c r="L18" s="445">
        <v>0</v>
      </c>
      <c r="M18" s="444">
        <f t="shared" si="1"/>
        <v>0</v>
      </c>
    </row>
    <row r="19" spans="1:13" ht="15">
      <c r="A19" s="138">
        <f>6!A20</f>
        <v>10</v>
      </c>
      <c r="B19" s="33" t="str">
        <f>6!B20</f>
        <v>Barito Selatan</v>
      </c>
      <c r="C19" s="139">
        <v>19807</v>
      </c>
      <c r="D19" s="31">
        <v>3185</v>
      </c>
      <c r="E19" s="447">
        <f t="shared" si="2"/>
        <v>16.080173675973143</v>
      </c>
      <c r="F19" s="445">
        <v>2927</v>
      </c>
      <c r="G19" s="474">
        <f t="shared" si="3"/>
        <v>14.777603877417075</v>
      </c>
      <c r="H19" s="445">
        <v>0</v>
      </c>
      <c r="I19" s="627">
        <f t="shared" si="4"/>
        <v>0</v>
      </c>
      <c r="J19" s="445">
        <v>0</v>
      </c>
      <c r="K19" s="444">
        <f t="shared" si="0"/>
        <v>0</v>
      </c>
      <c r="L19" s="445">
        <v>0</v>
      </c>
      <c r="M19" s="444">
        <f t="shared" si="1"/>
        <v>0</v>
      </c>
    </row>
    <row r="20" spans="1:13" ht="15">
      <c r="A20" s="138">
        <f>6!A21</f>
        <v>11</v>
      </c>
      <c r="B20" s="33" t="str">
        <f>6!B21</f>
        <v>Barito Timur</v>
      </c>
      <c r="C20" s="139">
        <v>25696</v>
      </c>
      <c r="D20" s="31">
        <v>1729</v>
      </c>
      <c r="E20" s="474">
        <f t="shared" si="2"/>
        <v>6.728673723536738</v>
      </c>
      <c r="F20" s="445">
        <v>1596</v>
      </c>
      <c r="G20" s="474">
        <f t="shared" si="3"/>
        <v>6.211083437110834</v>
      </c>
      <c r="H20" s="445">
        <v>9</v>
      </c>
      <c r="I20" s="474">
        <f t="shared" si="4"/>
        <v>0.03502490660024907</v>
      </c>
      <c r="J20" s="445">
        <v>0</v>
      </c>
      <c r="K20" s="444">
        <f t="shared" si="0"/>
        <v>0</v>
      </c>
      <c r="L20" s="445">
        <v>0</v>
      </c>
      <c r="M20" s="444">
        <f t="shared" si="1"/>
        <v>0</v>
      </c>
    </row>
    <row r="21" spans="1:13" ht="15">
      <c r="A21" s="138">
        <f>6!A22</f>
        <v>12</v>
      </c>
      <c r="B21" s="33" t="str">
        <f>6!B22</f>
        <v>Barito Utara</v>
      </c>
      <c r="C21" s="139">
        <v>31131</v>
      </c>
      <c r="D21" s="31">
        <v>5120</v>
      </c>
      <c r="E21" s="474">
        <f t="shared" si="2"/>
        <v>16.446628762326938</v>
      </c>
      <c r="F21" s="607" t="s">
        <v>694</v>
      </c>
      <c r="G21" s="607" t="s">
        <v>694</v>
      </c>
      <c r="H21" s="445">
        <v>2506</v>
      </c>
      <c r="I21" s="474">
        <f t="shared" si="4"/>
        <v>8.049853843435804</v>
      </c>
      <c r="J21" s="488">
        <v>0</v>
      </c>
      <c r="K21" s="288">
        <f t="shared" si="0"/>
        <v>0</v>
      </c>
      <c r="L21" s="488">
        <v>0</v>
      </c>
      <c r="M21" s="444">
        <f t="shared" si="1"/>
        <v>0</v>
      </c>
    </row>
    <row r="22" spans="1:13" ht="15">
      <c r="A22" s="138">
        <f>6!A23</f>
        <v>13</v>
      </c>
      <c r="B22" s="33" t="str">
        <f>6!B23</f>
        <v>Murung Raya</v>
      </c>
      <c r="C22" s="139">
        <v>2156</v>
      </c>
      <c r="D22" s="31">
        <v>1836</v>
      </c>
      <c r="E22" s="474">
        <f t="shared" si="2"/>
        <v>85.15769944341372</v>
      </c>
      <c r="F22" s="445">
        <v>1740</v>
      </c>
      <c r="G22" s="474">
        <f t="shared" si="3"/>
        <v>80.70500927643785</v>
      </c>
      <c r="H22" s="445">
        <v>0</v>
      </c>
      <c r="I22" s="627">
        <f t="shared" si="4"/>
        <v>0</v>
      </c>
      <c r="J22" s="445">
        <v>0</v>
      </c>
      <c r="K22" s="444">
        <f t="shared" si="0"/>
        <v>0</v>
      </c>
      <c r="L22" s="445">
        <v>0</v>
      </c>
      <c r="M22" s="444">
        <f t="shared" si="1"/>
        <v>0</v>
      </c>
    </row>
    <row r="23" spans="1:13" ht="15">
      <c r="A23" s="138">
        <f>6!A24</f>
        <v>14</v>
      </c>
      <c r="B23" s="33" t="str">
        <f>6!B24</f>
        <v>Palangka Raya</v>
      </c>
      <c r="C23" s="139">
        <v>44019</v>
      </c>
      <c r="D23" s="31">
        <v>985</v>
      </c>
      <c r="E23" s="474">
        <f t="shared" si="2"/>
        <v>2.2376700970035666</v>
      </c>
      <c r="F23" s="445">
        <v>392</v>
      </c>
      <c r="G23" s="474">
        <f t="shared" si="3"/>
        <v>0.8905245462186783</v>
      </c>
      <c r="H23" s="445">
        <v>30</v>
      </c>
      <c r="I23" s="474">
        <f t="shared" si="4"/>
        <v>0.06815238874122538</v>
      </c>
      <c r="J23" s="445">
        <v>13</v>
      </c>
      <c r="K23" s="444">
        <f t="shared" si="0"/>
        <v>0.02953270178786433</v>
      </c>
      <c r="L23" s="445">
        <v>62</v>
      </c>
      <c r="M23" s="444">
        <f t="shared" si="1"/>
        <v>0.14084827006519912</v>
      </c>
    </row>
    <row r="24" spans="1:13" ht="15">
      <c r="A24" s="30"/>
      <c r="B24" s="33"/>
      <c r="C24" s="139"/>
      <c r="D24" s="31"/>
      <c r="E24" s="447"/>
      <c r="F24" s="445"/>
      <c r="G24" s="447"/>
      <c r="H24" s="445"/>
      <c r="I24" s="447"/>
      <c r="J24" s="445"/>
      <c r="K24" s="444"/>
      <c r="L24" s="445"/>
      <c r="M24" s="444"/>
    </row>
    <row r="25" spans="1:13" ht="19.5" customHeight="1" thickBot="1">
      <c r="A25" s="165" t="s">
        <v>859</v>
      </c>
      <c r="B25" s="121"/>
      <c r="C25" s="167">
        <f>SUM(C10:C24)</f>
        <v>323203</v>
      </c>
      <c r="D25" s="41">
        <f>SUM(D10:D24)</f>
        <v>39351</v>
      </c>
      <c r="E25" s="601">
        <f>+D25/C25*100</f>
        <v>12.175320154825297</v>
      </c>
      <c r="F25" s="298">
        <f>SUM(F10:F24)</f>
        <v>29220</v>
      </c>
      <c r="G25" s="601">
        <f>+F25/C25*100</f>
        <v>9.040757666234533</v>
      </c>
      <c r="H25" s="298">
        <f>SUM(H10:H24)</f>
        <v>4129</v>
      </c>
      <c r="I25" s="601">
        <f>+H25/C25*100</f>
        <v>1.2775252704956328</v>
      </c>
      <c r="J25" s="298">
        <f>SUM(J10:J24)</f>
        <v>469</v>
      </c>
      <c r="K25" s="446">
        <f t="shared" si="0"/>
        <v>0.1451100392013688</v>
      </c>
      <c r="L25" s="298">
        <f>SUM(L10:L24)</f>
        <v>244</v>
      </c>
      <c r="M25" s="446">
        <f t="shared" si="1"/>
        <v>0.07549434875295093</v>
      </c>
    </row>
    <row r="26" spans="1:13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ht="15">
      <c r="A27" s="525" t="s">
        <v>243</v>
      </c>
    </row>
    <row r="28" spans="1:13" ht="15">
      <c r="A28" s="14" t="s">
        <v>694</v>
      </c>
      <c r="B28" s="390" t="s">
        <v>965</v>
      </c>
      <c r="M28" s="511"/>
    </row>
    <row r="29" spans="1:2" ht="15.75">
      <c r="A29" s="133"/>
      <c r="B29" s="193"/>
    </row>
    <row r="31" spans="2:3" ht="15.75">
      <c r="B31" s="193"/>
      <c r="C31" s="193"/>
    </row>
  </sheetData>
  <mergeCells count="9">
    <mergeCell ref="A5:M5"/>
    <mergeCell ref="A3:M3"/>
    <mergeCell ref="B7:B8"/>
    <mergeCell ref="C7:C8"/>
    <mergeCell ref="A7:A8"/>
    <mergeCell ref="D7:E7"/>
    <mergeCell ref="F7:G7"/>
    <mergeCell ref="H7:I7"/>
    <mergeCell ref="A4:M4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90" r:id="rId1"/>
  <headerFooter alignWithMargins="0">
    <oddFooter>&amp;C83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H19"/>
  <sheetViews>
    <sheetView workbookViewId="0" topLeftCell="A1">
      <selection activeCell="A6" sqref="A6:IV6"/>
    </sheetView>
  </sheetViews>
  <sheetFormatPr defaultColWidth="9.140625" defaultRowHeight="12.75"/>
  <cols>
    <col min="1" max="1" width="5.7109375" style="14" customWidth="1"/>
    <col min="2" max="2" width="39.7109375" style="14" customWidth="1"/>
    <col min="3" max="3" width="16.8515625" style="14" customWidth="1"/>
    <col min="4" max="5" width="13.8515625" style="14" customWidth="1"/>
    <col min="6" max="6" width="17.421875" style="14" customWidth="1"/>
    <col min="7" max="8" width="13.8515625" style="14" customWidth="1"/>
    <col min="9" max="16384" width="9.140625" style="14" customWidth="1"/>
  </cols>
  <sheetData>
    <row r="1" ht="15">
      <c r="A1" s="13" t="s">
        <v>351</v>
      </c>
    </row>
    <row r="2" spans="1:8" ht="15">
      <c r="A2" s="15" t="s">
        <v>1</v>
      </c>
      <c r="B2" s="15"/>
      <c r="C2" s="15"/>
      <c r="D2" s="15"/>
      <c r="E2" s="15"/>
      <c r="F2" s="15"/>
      <c r="G2" s="15"/>
      <c r="H2" s="15"/>
    </row>
    <row r="3" spans="1:8" ht="15">
      <c r="A3" s="641" t="s">
        <v>446</v>
      </c>
      <c r="B3" s="641"/>
      <c r="C3" s="641"/>
      <c r="D3" s="641"/>
      <c r="E3" s="641"/>
      <c r="F3" s="641"/>
      <c r="G3" s="641"/>
      <c r="H3" s="641"/>
    </row>
    <row r="4" spans="1:8" ht="15">
      <c r="A4" s="641" t="str">
        <f>1!A5</f>
        <v>PROVINSI KALIMANTAN TENGAH</v>
      </c>
      <c r="B4" s="641"/>
      <c r="C4" s="641"/>
      <c r="D4" s="641"/>
      <c r="E4" s="641"/>
      <c r="F4" s="641"/>
      <c r="G4" s="641"/>
      <c r="H4" s="641"/>
    </row>
    <row r="5" spans="1:8" ht="15">
      <c r="A5" s="641" t="str">
        <f>1!A6</f>
        <v>TAHUN 2009</v>
      </c>
      <c r="B5" s="641"/>
      <c r="C5" s="641"/>
      <c r="D5" s="641"/>
      <c r="E5" s="641"/>
      <c r="F5" s="641"/>
      <c r="G5" s="641"/>
      <c r="H5" s="641"/>
    </row>
    <row r="6" spans="1:8" ht="15">
      <c r="A6" s="5"/>
      <c r="B6" s="5"/>
      <c r="C6" s="5"/>
      <c r="D6" s="5"/>
      <c r="E6" s="5"/>
      <c r="F6" s="5"/>
      <c r="G6" s="5"/>
      <c r="H6" s="5"/>
    </row>
    <row r="7" spans="6:8" ht="15.75" thickBot="1">
      <c r="F7" s="18"/>
      <c r="G7" s="18"/>
      <c r="H7" s="18"/>
    </row>
    <row r="8" spans="1:8" ht="26.25" customHeight="1">
      <c r="A8" s="634" t="s">
        <v>2</v>
      </c>
      <c r="B8" s="547" t="s">
        <v>344</v>
      </c>
      <c r="C8" s="631" t="s">
        <v>546</v>
      </c>
      <c r="D8" s="632"/>
      <c r="E8" s="633"/>
      <c r="F8" s="631" t="s">
        <v>560</v>
      </c>
      <c r="G8" s="632"/>
      <c r="H8" s="633"/>
    </row>
    <row r="9" spans="1:8" ht="28.5">
      <c r="A9" s="636"/>
      <c r="B9" s="560"/>
      <c r="C9" s="105" t="s">
        <v>721</v>
      </c>
      <c r="D9" s="105" t="s">
        <v>547</v>
      </c>
      <c r="E9" s="255" t="s">
        <v>27</v>
      </c>
      <c r="F9" s="105" t="s">
        <v>721</v>
      </c>
      <c r="G9" s="105" t="s">
        <v>547</v>
      </c>
      <c r="H9" s="255" t="s">
        <v>27</v>
      </c>
    </row>
    <row r="10" spans="1:8" ht="15">
      <c r="A10" s="11">
        <v>1</v>
      </c>
      <c r="B10" s="11">
        <v>2</v>
      </c>
      <c r="C10" s="29">
        <v>3</v>
      </c>
      <c r="D10" s="29">
        <v>4</v>
      </c>
      <c r="E10" s="29">
        <v>5</v>
      </c>
      <c r="F10" s="137">
        <v>6</v>
      </c>
      <c r="G10" s="137">
        <v>7</v>
      </c>
      <c r="H10" s="59">
        <v>8</v>
      </c>
    </row>
    <row r="11" spans="1:8" ht="15">
      <c r="A11" s="22"/>
      <c r="B11" s="22"/>
      <c r="C11" s="22"/>
      <c r="D11" s="22"/>
      <c r="E11" s="22"/>
      <c r="F11" s="138"/>
      <c r="G11" s="227"/>
      <c r="H11" s="227"/>
    </row>
    <row r="12" spans="1:8" ht="15">
      <c r="A12" s="30">
        <v>1</v>
      </c>
      <c r="B12" s="30" t="s">
        <v>36</v>
      </c>
      <c r="C12" s="30">
        <f>112+12+635+7+6</f>
        <v>772</v>
      </c>
      <c r="D12" s="30">
        <f>112+12+247+5+4</f>
        <v>380</v>
      </c>
      <c r="E12" s="368">
        <f>D12/C12*100</f>
        <v>49.22279792746114</v>
      </c>
      <c r="F12" s="139">
        <f>113</f>
        <v>113</v>
      </c>
      <c r="G12" s="230">
        <f>98</f>
        <v>98</v>
      </c>
      <c r="H12" s="368">
        <f>G12/F12*100</f>
        <v>86.72566371681415</v>
      </c>
    </row>
    <row r="13" spans="1:8" ht="15">
      <c r="A13" s="30"/>
      <c r="B13" s="30"/>
      <c r="C13" s="30"/>
      <c r="D13" s="30"/>
      <c r="E13" s="368"/>
      <c r="F13" s="139"/>
      <c r="G13" s="230"/>
      <c r="H13" s="368"/>
    </row>
    <row r="14" spans="1:8" ht="15">
      <c r="A14" s="30">
        <v>2</v>
      </c>
      <c r="B14" s="347" t="s">
        <v>7</v>
      </c>
      <c r="C14" s="217">
        <f>3</f>
        <v>3</v>
      </c>
      <c r="D14" s="217">
        <f>3</f>
        <v>3</v>
      </c>
      <c r="E14" s="368">
        <f>D14/C14*100</f>
        <v>100</v>
      </c>
      <c r="F14" s="139">
        <f>7</f>
        <v>7</v>
      </c>
      <c r="G14" s="230">
        <v>0</v>
      </c>
      <c r="H14" s="368">
        <f>G14/F14*100</f>
        <v>0</v>
      </c>
    </row>
    <row r="15" spans="1:8" ht="15">
      <c r="A15" s="232"/>
      <c r="B15" s="232"/>
      <c r="C15" s="232"/>
      <c r="D15" s="232"/>
      <c r="E15" s="232"/>
      <c r="F15" s="164"/>
      <c r="G15" s="233"/>
      <c r="H15" s="369"/>
    </row>
    <row r="16" spans="1:8" ht="19.5" customHeight="1" thickBot="1">
      <c r="A16" s="165" t="s">
        <v>859</v>
      </c>
      <c r="B16" s="121"/>
      <c r="C16" s="242">
        <f>C12+C14</f>
        <v>775</v>
      </c>
      <c r="D16" s="242">
        <f>D12+D14</f>
        <v>383</v>
      </c>
      <c r="E16" s="600">
        <f>+D16/C16*100</f>
        <v>49.41935483870968</v>
      </c>
      <c r="F16" s="242">
        <f>F12+F14</f>
        <v>120</v>
      </c>
      <c r="G16" s="242">
        <f>G12+G14</f>
        <v>98</v>
      </c>
      <c r="H16" s="370">
        <f>G16/F16*100</f>
        <v>81.66666666666667</v>
      </c>
    </row>
    <row r="17" spans="1:8" ht="15">
      <c r="A17" s="18"/>
      <c r="B17" s="9"/>
      <c r="C17" s="9"/>
      <c r="D17" s="9"/>
      <c r="E17" s="9"/>
      <c r="F17" s="18"/>
      <c r="G17" s="18"/>
      <c r="H17" s="18"/>
    </row>
    <row r="18" ht="15">
      <c r="A18" s="14" t="s">
        <v>548</v>
      </c>
    </row>
    <row r="19" ht="15">
      <c r="H19" s="511"/>
    </row>
  </sheetData>
  <mergeCells count="7">
    <mergeCell ref="A3:H3"/>
    <mergeCell ref="A4:H4"/>
    <mergeCell ref="A5:H5"/>
    <mergeCell ref="F8:H8"/>
    <mergeCell ref="C8:E8"/>
    <mergeCell ref="B8:B9"/>
    <mergeCell ref="A8:A9"/>
  </mergeCells>
  <printOptions horizontalCentered="1"/>
  <pageMargins left="1.6929133858267718" right="0.9055118110236221" top="1.141732283464567" bottom="0.9055118110236221" header="0" footer="1.1811023622047245"/>
  <pageSetup fitToHeight="1" fitToWidth="1" horizontalDpi="300" verticalDpi="300" orientation="landscape" paperSize="9" scale="87" r:id="rId1"/>
  <headerFooter alignWithMargins="0">
    <oddFooter>&amp;C84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S34"/>
  <sheetViews>
    <sheetView zoomScale="75" zoomScaleNormal="75" workbookViewId="0" topLeftCell="A1">
      <selection activeCell="A5" sqref="A5:L5"/>
    </sheetView>
  </sheetViews>
  <sheetFormatPr defaultColWidth="9.140625" defaultRowHeight="12.75"/>
  <cols>
    <col min="1" max="1" width="5.7109375" style="14" customWidth="1"/>
    <col min="2" max="2" width="25.8515625" style="14" customWidth="1"/>
    <col min="3" max="3" width="12.7109375" style="14" customWidth="1"/>
    <col min="4" max="4" width="11.7109375" style="14" customWidth="1"/>
    <col min="5" max="5" width="10.7109375" style="14" customWidth="1"/>
    <col min="6" max="6" width="11.140625" style="14" customWidth="1"/>
    <col min="7" max="7" width="10.7109375" style="14" customWidth="1"/>
    <col min="8" max="8" width="12.7109375" style="14" customWidth="1"/>
    <col min="9" max="9" width="11.8515625" style="14" customWidth="1"/>
    <col min="10" max="10" width="10.7109375" style="14" customWidth="1"/>
    <col min="11" max="11" width="12.421875" style="14" customWidth="1"/>
    <col min="12" max="12" width="12.00390625" style="14" customWidth="1"/>
    <col min="13" max="17" width="9.140625" style="14" customWidth="1"/>
    <col min="18" max="18" width="16.140625" style="14" bestFit="1" customWidth="1"/>
    <col min="19" max="19" width="13.28125" style="14" bestFit="1" customWidth="1"/>
    <col min="20" max="16384" width="9.140625" style="14" customWidth="1"/>
  </cols>
  <sheetData>
    <row r="1" ht="15">
      <c r="A1" s="13" t="s">
        <v>354</v>
      </c>
    </row>
    <row r="3" spans="1:12" ht="15">
      <c r="A3" s="567" t="s">
        <v>495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</row>
    <row r="4" spans="1:12" ht="15">
      <c r="A4" s="641" t="s">
        <v>973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</row>
    <row r="5" spans="1:12" ht="15">
      <c r="A5" s="641" t="str">
        <f>1!A6</f>
        <v>TAHUN 2009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</row>
    <row r="6" ht="15.75" thickBot="1"/>
    <row r="7" spans="1:19" ht="39.75" customHeight="1">
      <c r="A7" s="634" t="s">
        <v>2</v>
      </c>
      <c r="B7" s="663" t="s">
        <v>844</v>
      </c>
      <c r="C7" s="665" t="s">
        <v>134</v>
      </c>
      <c r="D7" s="672" t="s">
        <v>496</v>
      </c>
      <c r="E7" s="671"/>
      <c r="F7" s="672" t="s">
        <v>447</v>
      </c>
      <c r="G7" s="671"/>
      <c r="H7" s="673" t="s">
        <v>368</v>
      </c>
      <c r="I7" s="670" t="s">
        <v>722</v>
      </c>
      <c r="J7" s="671"/>
      <c r="K7" s="670" t="s">
        <v>723</v>
      </c>
      <c r="L7" s="671"/>
      <c r="S7" s="486"/>
    </row>
    <row r="8" spans="1:12" ht="19.5" customHeight="1">
      <c r="A8" s="636"/>
      <c r="B8" s="664"/>
      <c r="C8" s="666"/>
      <c r="D8" s="11" t="s">
        <v>109</v>
      </c>
      <c r="E8" s="11" t="s">
        <v>27</v>
      </c>
      <c r="F8" s="11" t="s">
        <v>109</v>
      </c>
      <c r="G8" s="11" t="s">
        <v>27</v>
      </c>
      <c r="H8" s="674"/>
      <c r="I8" s="11" t="s">
        <v>109</v>
      </c>
      <c r="J8" s="11" t="s">
        <v>27</v>
      </c>
      <c r="K8" s="11" t="s">
        <v>109</v>
      </c>
      <c r="L8" s="11" t="s">
        <v>27</v>
      </c>
    </row>
    <row r="9" spans="1:12" ht="15">
      <c r="A9" s="11">
        <v>1</v>
      </c>
      <c r="B9" s="194">
        <v>2</v>
      </c>
      <c r="C9" s="194">
        <v>4</v>
      </c>
      <c r="D9" s="11">
        <v>5</v>
      </c>
      <c r="E9" s="194">
        <v>6</v>
      </c>
      <c r="F9" s="11">
        <v>7</v>
      </c>
      <c r="G9" s="194">
        <v>8</v>
      </c>
      <c r="H9" s="11">
        <v>9</v>
      </c>
      <c r="I9" s="194">
        <v>10</v>
      </c>
      <c r="J9" s="11">
        <v>11</v>
      </c>
      <c r="K9" s="194">
        <v>12</v>
      </c>
      <c r="L9" s="11">
        <v>13</v>
      </c>
    </row>
    <row r="10" spans="1:18" ht="15">
      <c r="A10" s="138">
        <f>6!A11</f>
        <v>1</v>
      </c>
      <c r="B10" s="33" t="str">
        <f>6!B11</f>
        <v>Kotawaringin Barat</v>
      </c>
      <c r="C10" s="31">
        <f>'17'!C11</f>
        <v>5703</v>
      </c>
      <c r="D10" s="31">
        <v>450</v>
      </c>
      <c r="E10" s="31">
        <f>D10/(20*C10/100)*100</f>
        <v>39.45291951604419</v>
      </c>
      <c r="F10" s="31">
        <v>450</v>
      </c>
      <c r="G10" s="461">
        <f>F10/(20*C10/100)*100</f>
        <v>39.45291951604419</v>
      </c>
      <c r="H10" s="31">
        <v>5183</v>
      </c>
      <c r="I10" s="31">
        <v>75</v>
      </c>
      <c r="J10" s="198">
        <f>I10/H10*100</f>
        <v>1.447038394752074</v>
      </c>
      <c r="K10" s="31">
        <v>75</v>
      </c>
      <c r="L10" s="198">
        <f>K10/I10*100</f>
        <v>100</v>
      </c>
      <c r="R10" s="486"/>
    </row>
    <row r="11" spans="1:18" ht="15">
      <c r="A11" s="138">
        <f>6!A12</f>
        <v>2</v>
      </c>
      <c r="B11" s="33" t="str">
        <f>6!B12</f>
        <v>Lamandau</v>
      </c>
      <c r="C11" s="31">
        <f>'17'!C12</f>
        <v>1830</v>
      </c>
      <c r="D11" s="31">
        <v>139</v>
      </c>
      <c r="E11" s="31">
        <f aca="true" t="shared" si="0" ref="E11:E25">D11/(20*C11/100)*100</f>
        <v>37.97814207650273</v>
      </c>
      <c r="F11" s="31">
        <v>15</v>
      </c>
      <c r="G11" s="461">
        <f aca="true" t="shared" si="1" ref="G11:G25">F11/(20*C11/100)*100</f>
        <v>4.098360655737705</v>
      </c>
      <c r="H11" s="31">
        <f>'15'!C12</f>
        <v>1482</v>
      </c>
      <c r="I11" s="31">
        <v>5</v>
      </c>
      <c r="J11" s="198">
        <f>I11/H11*100</f>
        <v>0.33738191632928477</v>
      </c>
      <c r="K11" s="31">
        <v>5</v>
      </c>
      <c r="L11" s="31">
        <f>K11/I11*100</f>
        <v>100</v>
      </c>
      <c r="R11" s="469"/>
    </row>
    <row r="12" spans="1:12" ht="15">
      <c r="A12" s="138">
        <f>6!A13</f>
        <v>3</v>
      </c>
      <c r="B12" s="33" t="str">
        <f>6!B13</f>
        <v>Sukamara</v>
      </c>
      <c r="C12" s="31">
        <f>'17'!C13</f>
        <v>1155</v>
      </c>
      <c r="D12" s="31">
        <v>167</v>
      </c>
      <c r="E12" s="31">
        <f t="shared" si="0"/>
        <v>72.2943722943723</v>
      </c>
      <c r="F12" s="31">
        <v>14</v>
      </c>
      <c r="G12" s="461">
        <f t="shared" si="1"/>
        <v>6.0606060606060606</v>
      </c>
      <c r="H12" s="31">
        <f>'15'!C13</f>
        <v>1049</v>
      </c>
      <c r="I12" s="31">
        <v>157</v>
      </c>
      <c r="J12" s="198">
        <f aca="true" t="shared" si="2" ref="J12:J25">I12/H12*100</f>
        <v>14.966634890371783</v>
      </c>
      <c r="K12" s="31">
        <v>5</v>
      </c>
      <c r="L12" s="198">
        <f aca="true" t="shared" si="3" ref="L12:L25">K12/I12*100</f>
        <v>3.1847133757961785</v>
      </c>
    </row>
    <row r="13" spans="1:12" ht="15">
      <c r="A13" s="138">
        <f>6!A14</f>
        <v>4</v>
      </c>
      <c r="B13" s="33" t="str">
        <f>6!B14</f>
        <v>Kotawaringin Timur</v>
      </c>
      <c r="C13" s="31">
        <f>'17'!C14</f>
        <v>8753</v>
      </c>
      <c r="D13" s="31">
        <v>1795</v>
      </c>
      <c r="E13" s="31">
        <f t="shared" si="0"/>
        <v>102.53627327773336</v>
      </c>
      <c r="F13" s="31">
        <v>2297</v>
      </c>
      <c r="G13" s="461">
        <f t="shared" si="1"/>
        <v>131.21215583228607</v>
      </c>
      <c r="H13" s="31">
        <v>7855</v>
      </c>
      <c r="I13" s="31">
        <v>1492</v>
      </c>
      <c r="J13" s="198">
        <f t="shared" si="2"/>
        <v>18.994271164863143</v>
      </c>
      <c r="K13" s="31">
        <v>156</v>
      </c>
      <c r="L13" s="198">
        <f t="shared" si="3"/>
        <v>10.455764075067025</v>
      </c>
    </row>
    <row r="14" spans="1:18" ht="15">
      <c r="A14" s="138">
        <f>6!A15</f>
        <v>5</v>
      </c>
      <c r="B14" s="33" t="str">
        <f>6!B15</f>
        <v>Seruyan</v>
      </c>
      <c r="C14" s="31">
        <f>'17'!C15</f>
        <v>4053</v>
      </c>
      <c r="D14" s="31">
        <v>403</v>
      </c>
      <c r="E14" s="31">
        <f>D14/(20*C14/100)*100</f>
        <v>49.71625956081914</v>
      </c>
      <c r="F14" s="31">
        <v>403</v>
      </c>
      <c r="G14" s="461">
        <f>F14/(20*C14/100)*100</f>
        <v>49.71625956081914</v>
      </c>
      <c r="H14" s="31">
        <f>'15'!C15</f>
        <v>3685</v>
      </c>
      <c r="I14" s="31">
        <v>15</v>
      </c>
      <c r="J14" s="198">
        <f t="shared" si="2"/>
        <v>0.40705563093622793</v>
      </c>
      <c r="K14" s="31">
        <v>15</v>
      </c>
      <c r="L14" s="198">
        <f t="shared" si="3"/>
        <v>100</v>
      </c>
      <c r="R14" s="486"/>
    </row>
    <row r="15" spans="1:12" ht="15">
      <c r="A15" s="138">
        <f>6!A16</f>
        <v>6</v>
      </c>
      <c r="B15" s="33" t="str">
        <f>6!B16</f>
        <v>Katingan</v>
      </c>
      <c r="C15" s="31">
        <f>'17'!C16</f>
        <v>3776</v>
      </c>
      <c r="D15" s="31">
        <v>638</v>
      </c>
      <c r="E15" s="31">
        <f t="shared" si="0"/>
        <v>84.48093220338983</v>
      </c>
      <c r="F15" s="31">
        <v>638</v>
      </c>
      <c r="G15" s="461">
        <f t="shared" si="1"/>
        <v>84.48093220338983</v>
      </c>
      <c r="H15" s="31">
        <f>'15'!C16</f>
        <v>3433</v>
      </c>
      <c r="I15" s="31">
        <v>0</v>
      </c>
      <c r="J15" s="198">
        <f t="shared" si="2"/>
        <v>0</v>
      </c>
      <c r="K15" s="31">
        <v>0</v>
      </c>
      <c r="L15" s="198">
        <v>0</v>
      </c>
    </row>
    <row r="16" spans="1:12" ht="15">
      <c r="A16" s="138">
        <f>6!A17</f>
        <v>7</v>
      </c>
      <c r="B16" s="33" t="str">
        <f>6!B17</f>
        <v>Kapuas</v>
      </c>
      <c r="C16" s="31">
        <f>'17'!C17</f>
        <v>10981</v>
      </c>
      <c r="D16" s="31">
        <v>1085</v>
      </c>
      <c r="E16" s="31">
        <f t="shared" si="0"/>
        <v>49.40351516255351</v>
      </c>
      <c r="F16" s="31">
        <v>1085</v>
      </c>
      <c r="G16" s="461">
        <f t="shared" si="1"/>
        <v>49.40351516255351</v>
      </c>
      <c r="H16" s="31">
        <f>'15'!C17</f>
        <v>10481</v>
      </c>
      <c r="I16" s="31">
        <v>166</v>
      </c>
      <c r="J16" s="198">
        <f t="shared" si="2"/>
        <v>1.5838183379448527</v>
      </c>
      <c r="K16" s="31">
        <v>166</v>
      </c>
      <c r="L16" s="31">
        <f t="shared" si="3"/>
        <v>100</v>
      </c>
    </row>
    <row r="17" spans="1:18" ht="15">
      <c r="A17" s="138">
        <f>6!A18</f>
        <v>8</v>
      </c>
      <c r="B17" s="33" t="str">
        <f>6!B18</f>
        <v>Pulang Pisau</v>
      </c>
      <c r="C17" s="31">
        <f>'17'!C18</f>
        <v>3325</v>
      </c>
      <c r="D17" s="31">
        <v>428</v>
      </c>
      <c r="E17" s="31">
        <f t="shared" si="0"/>
        <v>64.36090225563909</v>
      </c>
      <c r="F17" s="31">
        <v>428</v>
      </c>
      <c r="G17" s="461">
        <f t="shared" si="1"/>
        <v>64.36090225563909</v>
      </c>
      <c r="H17" s="31">
        <f>'15'!C18</f>
        <v>3008</v>
      </c>
      <c r="I17" s="31">
        <v>70</v>
      </c>
      <c r="J17" s="198">
        <f t="shared" si="2"/>
        <v>2.327127659574468</v>
      </c>
      <c r="K17" s="31">
        <v>70</v>
      </c>
      <c r="L17" s="31">
        <f t="shared" si="3"/>
        <v>100</v>
      </c>
      <c r="R17" s="486"/>
    </row>
    <row r="18" spans="1:18" ht="15">
      <c r="A18" s="138">
        <f>6!A19</f>
        <v>9</v>
      </c>
      <c r="B18" s="183" t="str">
        <f>6!B19</f>
        <v>Gunung Mas</v>
      </c>
      <c r="C18" s="31">
        <f>'17'!C19</f>
        <v>2422</v>
      </c>
      <c r="D18" s="31">
        <v>482</v>
      </c>
      <c r="E18" s="31">
        <f t="shared" si="0"/>
        <v>99.5045417010735</v>
      </c>
      <c r="F18" s="31">
        <v>74</v>
      </c>
      <c r="G18" s="461">
        <f t="shared" si="1"/>
        <v>15.2766308835673</v>
      </c>
      <c r="H18" s="139">
        <f>'15'!C19</f>
        <v>2202</v>
      </c>
      <c r="I18" s="139">
        <v>61</v>
      </c>
      <c r="J18" s="141">
        <f t="shared" si="2"/>
        <v>2.7702089009990916</v>
      </c>
      <c r="K18" s="139">
        <v>5</v>
      </c>
      <c r="L18" s="141">
        <f>K18/I18*100</f>
        <v>8.19672131147541</v>
      </c>
      <c r="R18" s="469"/>
    </row>
    <row r="19" spans="1:12" ht="15">
      <c r="A19" s="138">
        <f>6!A20</f>
        <v>10</v>
      </c>
      <c r="B19" s="33" t="str">
        <f>6!B20</f>
        <v>Barito Selatan</v>
      </c>
      <c r="C19" s="31">
        <f>'17'!C20</f>
        <v>3091</v>
      </c>
      <c r="D19" s="31">
        <v>64</v>
      </c>
      <c r="E19" s="31">
        <f t="shared" si="0"/>
        <v>10.35263668715626</v>
      </c>
      <c r="F19" s="31">
        <v>64</v>
      </c>
      <c r="G19" s="461">
        <f>F19/(20*C19/100)*100</f>
        <v>10.35263668715626</v>
      </c>
      <c r="H19" s="31">
        <f>'15'!C20</f>
        <v>2843</v>
      </c>
      <c r="I19" s="31">
        <v>30</v>
      </c>
      <c r="J19" s="198">
        <f t="shared" si="2"/>
        <v>1.0552233556102708</v>
      </c>
      <c r="K19" s="31">
        <v>30</v>
      </c>
      <c r="L19" s="198">
        <f t="shared" si="3"/>
        <v>100</v>
      </c>
    </row>
    <row r="20" spans="1:12" ht="15">
      <c r="A20" s="138">
        <f>6!A21</f>
        <v>11</v>
      </c>
      <c r="B20" s="33" t="str">
        <f>6!B21</f>
        <v>Barito Timur</v>
      </c>
      <c r="C20" s="31">
        <f>'17'!C21</f>
        <v>2369</v>
      </c>
      <c r="D20" s="31">
        <v>719</v>
      </c>
      <c r="E20" s="31">
        <f t="shared" si="0"/>
        <v>151.75179400590966</v>
      </c>
      <c r="F20" s="31">
        <v>719</v>
      </c>
      <c r="G20" s="461">
        <f>F20/(20*C20/100)*100</f>
        <v>151.75179400590966</v>
      </c>
      <c r="H20" s="31">
        <f>'15'!C21</f>
        <v>1701</v>
      </c>
      <c r="I20" s="139">
        <v>26</v>
      </c>
      <c r="J20" s="141">
        <f t="shared" si="2"/>
        <v>1.5285126396237507</v>
      </c>
      <c r="K20" s="139">
        <v>26</v>
      </c>
      <c r="L20" s="141">
        <f t="shared" si="3"/>
        <v>100</v>
      </c>
    </row>
    <row r="21" spans="1:12" ht="15">
      <c r="A21" s="138">
        <f>6!A22</f>
        <v>12</v>
      </c>
      <c r="B21" s="33" t="str">
        <f>6!B22</f>
        <v>Barito Utara</v>
      </c>
      <c r="C21" s="31">
        <f>'17'!C22</f>
        <v>3131</v>
      </c>
      <c r="D21" s="31">
        <v>626</v>
      </c>
      <c r="E21" s="31">
        <f t="shared" si="0"/>
        <v>99.96806132226125</v>
      </c>
      <c r="F21" s="31">
        <v>659</v>
      </c>
      <c r="G21" s="461">
        <f t="shared" si="1"/>
        <v>105.23794314915362</v>
      </c>
      <c r="H21" s="31">
        <f>'15'!C22</f>
        <v>2516</v>
      </c>
      <c r="I21" s="31">
        <v>503</v>
      </c>
      <c r="J21" s="198">
        <f t="shared" si="2"/>
        <v>19.992050874403816</v>
      </c>
      <c r="K21" s="31">
        <v>601</v>
      </c>
      <c r="L21" s="198">
        <f>K21/I21*100</f>
        <v>119.48310139165011</v>
      </c>
    </row>
    <row r="22" spans="1:13" ht="15.75">
      <c r="A22" s="138">
        <f>6!A23</f>
        <v>13</v>
      </c>
      <c r="B22" s="33" t="str">
        <f>6!B23</f>
        <v>Murung Raya</v>
      </c>
      <c r="C22" s="31">
        <f>'17'!C23</f>
        <v>2668</v>
      </c>
      <c r="D22" s="31">
        <v>143</v>
      </c>
      <c r="E22" s="31">
        <f t="shared" si="0"/>
        <v>26.79910044977511</v>
      </c>
      <c r="F22" s="31">
        <v>57</v>
      </c>
      <c r="G22" s="461">
        <f t="shared" si="1"/>
        <v>10.68215892053973</v>
      </c>
      <c r="H22" s="139">
        <f>'15'!C23</f>
        <v>2384</v>
      </c>
      <c r="I22" s="31">
        <v>23</v>
      </c>
      <c r="J22" s="198">
        <f t="shared" si="2"/>
        <v>0.964765100671141</v>
      </c>
      <c r="K22" s="31">
        <v>4</v>
      </c>
      <c r="L22" s="198">
        <f t="shared" si="3"/>
        <v>17.391304347826086</v>
      </c>
      <c r="M22" s="193"/>
    </row>
    <row r="23" spans="1:13" ht="15.75">
      <c r="A23" s="138">
        <f>6!A24</f>
        <v>14</v>
      </c>
      <c r="B23" s="33" t="str">
        <f>6!B24</f>
        <v>Palangka Raya</v>
      </c>
      <c r="C23" s="31">
        <f>'17'!C24</f>
        <v>5151</v>
      </c>
      <c r="D23" s="31">
        <v>798</v>
      </c>
      <c r="E23" s="31">
        <f t="shared" si="0"/>
        <v>77.4606872451951</v>
      </c>
      <c r="F23" s="31">
        <v>25</v>
      </c>
      <c r="G23" s="461">
        <f t="shared" si="1"/>
        <v>2.42671325956125</v>
      </c>
      <c r="H23" s="139">
        <f>'15'!C24</f>
        <v>5006</v>
      </c>
      <c r="I23" s="31">
        <v>52</v>
      </c>
      <c r="J23" s="198">
        <f t="shared" si="2"/>
        <v>1.038753495805034</v>
      </c>
      <c r="K23" s="31">
        <v>50</v>
      </c>
      <c r="L23" s="198">
        <f t="shared" si="3"/>
        <v>96.15384615384616</v>
      </c>
      <c r="M23" s="193"/>
    </row>
    <row r="24" spans="1:12" ht="15">
      <c r="A24" s="30"/>
      <c r="B24" s="33"/>
      <c r="C24" s="31"/>
      <c r="D24" s="31"/>
      <c r="E24" s="36"/>
      <c r="F24" s="31"/>
      <c r="G24" s="211"/>
      <c r="H24" s="31"/>
      <c r="I24" s="31"/>
      <c r="J24" s="198"/>
      <c r="K24" s="31"/>
      <c r="L24" s="198"/>
    </row>
    <row r="25" spans="1:12" ht="19.5" customHeight="1" thickBot="1">
      <c r="A25" s="165" t="s">
        <v>859</v>
      </c>
      <c r="B25" s="69"/>
      <c r="C25" s="41">
        <f>7!C25</f>
        <v>47467</v>
      </c>
      <c r="D25" s="41">
        <f>SUM(D10:D24)</f>
        <v>7937</v>
      </c>
      <c r="E25" s="212">
        <f t="shared" si="0"/>
        <v>83.60545220890303</v>
      </c>
      <c r="F25" s="41">
        <f>SUM(F10:F24)</f>
        <v>6928</v>
      </c>
      <c r="G25" s="213">
        <f t="shared" si="1"/>
        <v>72.97701561084543</v>
      </c>
      <c r="H25" s="41">
        <f>SUM(H10:H24)</f>
        <v>52828</v>
      </c>
      <c r="I25" s="41">
        <f>SUM(I10:I24)</f>
        <v>2675</v>
      </c>
      <c r="J25" s="200">
        <f t="shared" si="2"/>
        <v>5.063602634966306</v>
      </c>
      <c r="K25" s="41">
        <f>SUM(K10:K24)</f>
        <v>1208</v>
      </c>
      <c r="L25" s="200">
        <f t="shared" si="3"/>
        <v>45.15887850467289</v>
      </c>
    </row>
    <row r="26" spans="1:12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ht="15">
      <c r="A27" s="525" t="s">
        <v>243</v>
      </c>
    </row>
    <row r="28" ht="15">
      <c r="L28" s="511"/>
    </row>
    <row r="30" ht="15">
      <c r="D30" s="466"/>
    </row>
    <row r="31" spans="2:3" ht="15">
      <c r="B31" s="495"/>
      <c r="C31" s="669"/>
    </row>
    <row r="32" spans="2:3" ht="15">
      <c r="B32" s="495"/>
      <c r="C32" s="669"/>
    </row>
    <row r="33" spans="2:3" ht="15">
      <c r="B33" s="495"/>
      <c r="C33" s="669"/>
    </row>
    <row r="34" spans="2:3" ht="15">
      <c r="B34" s="495"/>
      <c r="C34" s="669"/>
    </row>
  </sheetData>
  <mergeCells count="12">
    <mergeCell ref="C31:C34"/>
    <mergeCell ref="I7:J7"/>
    <mergeCell ref="K7:L7"/>
    <mergeCell ref="A7:A8"/>
    <mergeCell ref="F7:G7"/>
    <mergeCell ref="B7:B8"/>
    <mergeCell ref="C7:C8"/>
    <mergeCell ref="H7:H8"/>
    <mergeCell ref="D7:E7"/>
    <mergeCell ref="A3:L3"/>
    <mergeCell ref="A4:L4"/>
    <mergeCell ref="A5:L5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79" r:id="rId1"/>
  <headerFooter alignWithMargins="0">
    <oddFooter>&amp;C85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T33"/>
  <sheetViews>
    <sheetView zoomScale="75" zoomScaleNormal="75" workbookViewId="0" topLeftCell="A1">
      <selection activeCell="A5" sqref="A5:S5"/>
    </sheetView>
  </sheetViews>
  <sheetFormatPr defaultColWidth="9.140625" defaultRowHeight="12.75"/>
  <cols>
    <col min="1" max="1" width="5.7109375" style="14" customWidth="1"/>
    <col min="2" max="2" width="21.7109375" style="14" customWidth="1"/>
    <col min="3" max="3" width="14.57421875" style="14" customWidth="1"/>
    <col min="4" max="5" width="10.00390625" style="14" customWidth="1"/>
    <col min="6" max="7" width="11.140625" style="14" customWidth="1"/>
    <col min="8" max="8" width="11.00390625" style="14" customWidth="1"/>
    <col min="9" max="9" width="10.00390625" style="14" customWidth="1"/>
    <col min="10" max="10" width="13.8515625" style="14" customWidth="1"/>
    <col min="11" max="12" width="10.00390625" style="14" customWidth="1"/>
    <col min="13" max="13" width="11.28125" style="14" customWidth="1"/>
    <col min="14" max="14" width="11.140625" style="14" customWidth="1"/>
    <col min="15" max="15" width="11.00390625" style="14" customWidth="1"/>
    <col min="16" max="16" width="10.00390625" style="14" customWidth="1"/>
    <col min="17" max="17" width="13.421875" style="14" customWidth="1"/>
    <col min="18" max="19" width="10.7109375" style="14" customWidth="1"/>
    <col min="20" max="20" width="11.421875" style="14" bestFit="1" customWidth="1"/>
    <col min="21" max="16384" width="9.140625" style="14" customWidth="1"/>
  </cols>
  <sheetData>
    <row r="1" spans="1:6" ht="15">
      <c r="A1" s="13" t="s">
        <v>281</v>
      </c>
      <c r="F1" s="18"/>
    </row>
    <row r="2" ht="15">
      <c r="F2" s="18"/>
    </row>
    <row r="3" spans="1:19" ht="15">
      <c r="A3" s="641" t="s">
        <v>156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</row>
    <row r="4" spans="1:19" ht="15">
      <c r="A4" s="641" t="s">
        <v>861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</row>
    <row r="5" spans="1:19" ht="15">
      <c r="A5" s="642" t="str">
        <f>1!A5</f>
        <v>PROVINSI KALIMANTAN TENGAH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</row>
    <row r="6" spans="1:19" ht="15">
      <c r="A6" s="642" t="str">
        <f>1!A6</f>
        <v>TAHUN 2009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</row>
    <row r="7" spans="1:19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5.75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25.5" customHeight="1">
      <c r="A9" s="634" t="s">
        <v>2</v>
      </c>
      <c r="B9" s="634" t="s">
        <v>844</v>
      </c>
      <c r="C9" s="649" t="s">
        <v>37</v>
      </c>
      <c r="D9" s="44" t="s">
        <v>37</v>
      </c>
      <c r="E9" s="45"/>
      <c r="F9" s="46"/>
      <c r="G9" s="47"/>
      <c r="H9" s="44"/>
      <c r="I9" s="44"/>
      <c r="J9" s="44"/>
      <c r="K9" s="44"/>
      <c r="L9" s="44"/>
      <c r="M9" s="44"/>
      <c r="N9" s="44"/>
      <c r="O9" s="44"/>
      <c r="P9" s="44"/>
      <c r="Q9" s="44"/>
      <c r="R9" s="643" t="s">
        <v>157</v>
      </c>
      <c r="S9" s="646" t="s">
        <v>158</v>
      </c>
    </row>
    <row r="10" spans="1:19" ht="15">
      <c r="A10" s="635"/>
      <c r="B10" s="635"/>
      <c r="C10" s="615"/>
      <c r="D10" s="49" t="s">
        <v>159</v>
      </c>
      <c r="E10" s="50"/>
      <c r="F10" s="50"/>
      <c r="G10" s="50"/>
      <c r="H10" s="50"/>
      <c r="I10" s="50"/>
      <c r="J10" s="51"/>
      <c r="K10" s="49" t="s">
        <v>160</v>
      </c>
      <c r="L10" s="50"/>
      <c r="M10" s="50"/>
      <c r="N10" s="50"/>
      <c r="O10" s="50"/>
      <c r="P10" s="50"/>
      <c r="Q10" s="51"/>
      <c r="R10" s="644"/>
      <c r="S10" s="647"/>
    </row>
    <row r="11" spans="1:19" ht="15">
      <c r="A11" s="636"/>
      <c r="B11" s="636"/>
      <c r="C11" s="616"/>
      <c r="D11" s="23" t="s">
        <v>161</v>
      </c>
      <c r="E11" s="54" t="s">
        <v>162</v>
      </c>
      <c r="F11" s="55" t="s">
        <v>163</v>
      </c>
      <c r="G11" s="55" t="s">
        <v>164</v>
      </c>
      <c r="H11" s="56" t="s">
        <v>165</v>
      </c>
      <c r="I11" s="57" t="s">
        <v>166</v>
      </c>
      <c r="J11" s="22" t="s">
        <v>82</v>
      </c>
      <c r="K11" s="23" t="s">
        <v>161</v>
      </c>
      <c r="L11" s="54" t="s">
        <v>162</v>
      </c>
      <c r="M11" s="55" t="s">
        <v>163</v>
      </c>
      <c r="N11" s="55" t="s">
        <v>164</v>
      </c>
      <c r="O11" s="56" t="s">
        <v>165</v>
      </c>
      <c r="P11" s="57" t="s">
        <v>166</v>
      </c>
      <c r="Q11" s="58" t="s">
        <v>82</v>
      </c>
      <c r="R11" s="645"/>
      <c r="S11" s="648"/>
    </row>
    <row r="12" spans="1:19" ht="15">
      <c r="A12" s="11">
        <v>1</v>
      </c>
      <c r="B12" s="29">
        <v>2</v>
      </c>
      <c r="C12" s="11">
        <v>3</v>
      </c>
      <c r="D12" s="59">
        <v>4</v>
      </c>
      <c r="E12" s="59">
        <v>5</v>
      </c>
      <c r="F12" s="59">
        <v>6</v>
      </c>
      <c r="G12" s="59">
        <v>7</v>
      </c>
      <c r="H12" s="60">
        <v>8</v>
      </c>
      <c r="I12" s="60">
        <v>9</v>
      </c>
      <c r="J12" s="11">
        <v>10</v>
      </c>
      <c r="K12" s="59">
        <v>11</v>
      </c>
      <c r="L12" s="59">
        <v>12</v>
      </c>
      <c r="M12" s="59">
        <v>13</v>
      </c>
      <c r="N12" s="59">
        <v>14</v>
      </c>
      <c r="O12" s="60">
        <v>15</v>
      </c>
      <c r="P12" s="60">
        <v>16</v>
      </c>
      <c r="Q12" s="61">
        <v>17</v>
      </c>
      <c r="R12" s="59">
        <v>18</v>
      </c>
      <c r="S12" s="78">
        <v>19</v>
      </c>
    </row>
    <row r="13" spans="1:20" ht="15">
      <c r="A13" s="138">
        <f>1!A12</f>
        <v>1</v>
      </c>
      <c r="B13" s="30" t="str">
        <f>1!B12</f>
        <v>Kotawaringin Barat</v>
      </c>
      <c r="C13" s="62">
        <f>J13+Q13</f>
        <v>258767</v>
      </c>
      <c r="D13" s="542">
        <v>2521</v>
      </c>
      <c r="E13" s="542">
        <f>10928-D13</f>
        <v>8407</v>
      </c>
      <c r="F13" s="542">
        <f>14835+13562</f>
        <v>28397</v>
      </c>
      <c r="G13" s="542">
        <f>12006+11073+12247+11664+11606+9398</f>
        <v>67994</v>
      </c>
      <c r="H13" s="542">
        <f>9716+6771+3519+2434</f>
        <v>22440</v>
      </c>
      <c r="I13" s="542">
        <f>2434+1817+2150</f>
        <v>6401</v>
      </c>
      <c r="J13" s="169">
        <f aca="true" t="shared" si="0" ref="J13:J26">SUM(D13:I13)</f>
        <v>136160</v>
      </c>
      <c r="K13" s="542">
        <v>2260</v>
      </c>
      <c r="L13" s="542">
        <f>11469-K13</f>
        <v>9209</v>
      </c>
      <c r="M13" s="542">
        <f>12915+12389</f>
        <v>25304</v>
      </c>
      <c r="N13" s="542">
        <f>12060+8659+11361+10763+11847+7930</f>
        <v>62620</v>
      </c>
      <c r="O13" s="542">
        <f>6196+5570+2722+3506</f>
        <v>17994</v>
      </c>
      <c r="P13" s="542">
        <f>1987+1781+1452</f>
        <v>5220</v>
      </c>
      <c r="Q13" s="64">
        <f aca="true" t="shared" si="1" ref="Q13:Q26">SUM(K13:P13)</f>
        <v>122607</v>
      </c>
      <c r="R13" s="66">
        <f aca="true" t="shared" si="2" ref="R13:R25">(+D13+E13+F13+I13+K13+L13+M13+P13)/(+G13+H13+N13+O13)*100</f>
        <v>51.28326551611244</v>
      </c>
      <c r="S13" s="497">
        <f aca="true" t="shared" si="3" ref="S13:S25">+J13/Q13*100</f>
        <v>111.05401812294566</v>
      </c>
      <c r="T13" s="469"/>
    </row>
    <row r="14" spans="1:20" ht="15">
      <c r="A14" s="138">
        <f>1!A13</f>
        <v>2</v>
      </c>
      <c r="B14" s="30" t="str">
        <f>1!B13</f>
        <v>Lamandau</v>
      </c>
      <c r="C14" s="62">
        <f aca="true" t="shared" si="4" ref="C14:C26">J14+Q14</f>
        <v>63079</v>
      </c>
      <c r="D14" s="63">
        <f>2211-E14</f>
        <v>125</v>
      </c>
      <c r="E14" s="63">
        <v>2086</v>
      </c>
      <c r="F14" s="63">
        <f>3623+3801</f>
        <v>7424</v>
      </c>
      <c r="G14" s="63">
        <f>3102+1875+2026+2657+3037+2787</f>
        <v>15484</v>
      </c>
      <c r="H14" s="64">
        <f>1785+1737+1273+1116</f>
        <v>5911</v>
      </c>
      <c r="I14" s="64">
        <f>391+349+293</f>
        <v>1033</v>
      </c>
      <c r="J14" s="62">
        <f t="shared" si="0"/>
        <v>32063</v>
      </c>
      <c r="K14" s="63">
        <f>2554-L14</f>
        <v>143</v>
      </c>
      <c r="L14" s="63">
        <v>2411</v>
      </c>
      <c r="M14" s="63">
        <f>3819+3443</f>
        <v>7262</v>
      </c>
      <c r="N14" s="63">
        <f>2187+2562+2676+2995+2780+1955</f>
        <v>15155</v>
      </c>
      <c r="O14" s="64">
        <f>2154+1374+895+666</f>
        <v>5089</v>
      </c>
      <c r="P14" s="64">
        <f>361+375+220</f>
        <v>956</v>
      </c>
      <c r="Q14" s="65">
        <f t="shared" si="1"/>
        <v>31016</v>
      </c>
      <c r="R14" s="66">
        <f t="shared" si="2"/>
        <v>51.49018948581858</v>
      </c>
      <c r="S14" s="67">
        <f t="shared" si="3"/>
        <v>103.37567706989941</v>
      </c>
      <c r="T14" s="469"/>
    </row>
    <row r="15" spans="1:20" ht="15">
      <c r="A15" s="138">
        <f>1!A14</f>
        <v>3</v>
      </c>
      <c r="B15" s="30" t="str">
        <f>1!B14</f>
        <v>Sukamara</v>
      </c>
      <c r="C15" s="62">
        <f t="shared" si="4"/>
        <v>43253</v>
      </c>
      <c r="D15" s="63">
        <v>501</v>
      </c>
      <c r="E15" s="63">
        <f>1932-D15</f>
        <v>1431</v>
      </c>
      <c r="F15" s="63">
        <f>2571+2437</f>
        <v>5008</v>
      </c>
      <c r="G15" s="63">
        <f>2008+2045+2301+1928+2043+1586</f>
        <v>11911</v>
      </c>
      <c r="H15" s="64">
        <f>1251+763+610+606</f>
        <v>3230</v>
      </c>
      <c r="I15" s="64">
        <f>304+109+241</f>
        <v>654</v>
      </c>
      <c r="J15" s="62">
        <f t="shared" si="0"/>
        <v>22735</v>
      </c>
      <c r="K15" s="63">
        <v>494</v>
      </c>
      <c r="L15" s="63">
        <f>2114-K15</f>
        <v>1620</v>
      </c>
      <c r="M15" s="63">
        <f>2307+2013</f>
        <v>4320</v>
      </c>
      <c r="N15" s="63">
        <f>1737+1781+2290+1945+1618+1224</f>
        <v>10595</v>
      </c>
      <c r="O15" s="64">
        <f>1094+851+497+189</f>
        <v>2631</v>
      </c>
      <c r="P15" s="64">
        <f>215+278+365</f>
        <v>858</v>
      </c>
      <c r="Q15" s="65">
        <f t="shared" si="1"/>
        <v>20518</v>
      </c>
      <c r="R15" s="66">
        <f t="shared" si="2"/>
        <v>52.4764691366729</v>
      </c>
      <c r="S15" s="67">
        <f t="shared" si="3"/>
        <v>110.80514670045814</v>
      </c>
      <c r="T15" s="469"/>
    </row>
    <row r="16" spans="1:20" ht="15">
      <c r="A16" s="138">
        <f>1!A15</f>
        <v>4</v>
      </c>
      <c r="B16" s="138" t="str">
        <f>1!B15</f>
        <v>Kotawaringin Timur</v>
      </c>
      <c r="C16" s="62">
        <f t="shared" si="4"/>
        <v>328817</v>
      </c>
      <c r="D16" s="63">
        <v>3275</v>
      </c>
      <c r="E16" s="63">
        <f>16242-D16</f>
        <v>12967</v>
      </c>
      <c r="F16" s="63">
        <f>17491+19856</f>
        <v>37347</v>
      </c>
      <c r="G16" s="63">
        <f>18485+13543+14207+14188+12016+12074</f>
        <v>84513</v>
      </c>
      <c r="H16" s="64">
        <f>10115+8351+4022+4242</f>
        <v>26730</v>
      </c>
      <c r="I16" s="64">
        <f>2664+2137+2076</f>
        <v>6877</v>
      </c>
      <c r="J16" s="63">
        <f t="shared" si="0"/>
        <v>171709</v>
      </c>
      <c r="K16" s="63">
        <v>3180</v>
      </c>
      <c r="L16" s="63">
        <f>15475-K16</f>
        <v>12295</v>
      </c>
      <c r="M16" s="63">
        <f>17835+17721</f>
        <v>35556</v>
      </c>
      <c r="N16" s="63">
        <f>14907+13499+15183+13225+13468+8920</f>
        <v>79202</v>
      </c>
      <c r="O16" s="64">
        <f>9318+6278+3353+3262</f>
        <v>22211</v>
      </c>
      <c r="P16" s="64">
        <f>2776+670+1218</f>
        <v>4664</v>
      </c>
      <c r="Q16" s="64">
        <f t="shared" si="1"/>
        <v>157108</v>
      </c>
      <c r="R16" s="66">
        <f t="shared" si="2"/>
        <v>54.62389963132948</v>
      </c>
      <c r="S16" s="382">
        <f t="shared" si="3"/>
        <v>109.29360694554065</v>
      </c>
      <c r="T16" s="469"/>
    </row>
    <row r="17" spans="1:20" ht="15">
      <c r="A17" s="138">
        <f>1!A16</f>
        <v>5</v>
      </c>
      <c r="B17" s="30" t="str">
        <f>1!B16</f>
        <v>Seruyan</v>
      </c>
      <c r="C17" s="62">
        <f t="shared" si="4"/>
        <v>137012</v>
      </c>
      <c r="D17" s="63">
        <v>0</v>
      </c>
      <c r="E17" s="63">
        <v>4444</v>
      </c>
      <c r="F17" s="63">
        <f>8222+8712</f>
        <v>16934</v>
      </c>
      <c r="G17" s="63">
        <f>7422+5574+6473+5369+7012+4929</f>
        <v>36779</v>
      </c>
      <c r="H17" s="63">
        <f>3569+3132+1884+1772</f>
        <v>10357</v>
      </c>
      <c r="I17" s="63">
        <f>753+782+754</f>
        <v>2289</v>
      </c>
      <c r="J17" s="63">
        <f t="shared" si="0"/>
        <v>70803</v>
      </c>
      <c r="K17" s="63">
        <v>0</v>
      </c>
      <c r="L17" s="63">
        <v>4411</v>
      </c>
      <c r="M17" s="63">
        <f>7757+8093</f>
        <v>15850</v>
      </c>
      <c r="N17" s="63">
        <f>7237+5006+6158+6868+5414+4203</f>
        <v>34886</v>
      </c>
      <c r="O17" s="63">
        <f>3935+2927+1923+1242</f>
        <v>10027</v>
      </c>
      <c r="P17" s="63">
        <f>384+326+325</f>
        <v>1035</v>
      </c>
      <c r="Q17" s="64">
        <f t="shared" si="1"/>
        <v>66209</v>
      </c>
      <c r="R17" s="66">
        <f t="shared" si="2"/>
        <v>48.84680985127486</v>
      </c>
      <c r="S17" s="382">
        <f t="shared" si="3"/>
        <v>106.93863372049117</v>
      </c>
      <c r="T17" s="469"/>
    </row>
    <row r="18" spans="1:20" ht="15">
      <c r="A18" s="138">
        <f>1!A17</f>
        <v>6</v>
      </c>
      <c r="B18" s="30" t="str">
        <f>1!B17</f>
        <v>Katingan</v>
      </c>
      <c r="C18" s="62">
        <f t="shared" si="4"/>
        <v>148912</v>
      </c>
      <c r="D18" s="63">
        <v>0</v>
      </c>
      <c r="E18" s="63">
        <v>7231</v>
      </c>
      <c r="F18" s="63">
        <f>8834+8992</f>
        <v>17826</v>
      </c>
      <c r="G18" s="63">
        <f>6820+5241+6619+6716+7227+5159</f>
        <v>37782</v>
      </c>
      <c r="H18" s="63">
        <f>3276+2994+2046+1694</f>
        <v>10010</v>
      </c>
      <c r="I18" s="63">
        <f>1223+949+612</f>
        <v>2784</v>
      </c>
      <c r="J18" s="63">
        <f t="shared" si="0"/>
        <v>75633</v>
      </c>
      <c r="K18" s="63">
        <v>0</v>
      </c>
      <c r="L18" s="63">
        <v>7783</v>
      </c>
      <c r="M18" s="63">
        <f>9083+7953</f>
        <v>17036</v>
      </c>
      <c r="N18" s="63">
        <f>6973+6979+7133+6453+5458+3968</f>
        <v>36964</v>
      </c>
      <c r="O18" s="63">
        <f>2947+3280+1856+1761</f>
        <v>9844</v>
      </c>
      <c r="P18" s="63">
        <f>668+794+190</f>
        <v>1652</v>
      </c>
      <c r="Q18" s="64">
        <f t="shared" si="1"/>
        <v>73279</v>
      </c>
      <c r="R18" s="66">
        <f>(+D18+E18+F18+I18+K18+L18+M18+P18)/(+G18+H18+N18+O18)*100</f>
        <v>57.4122621564482</v>
      </c>
      <c r="S18" s="382">
        <f>+J18/Q18*100</f>
        <v>103.21238008160591</v>
      </c>
      <c r="T18" s="469"/>
    </row>
    <row r="19" spans="1:19" ht="15">
      <c r="A19" s="138">
        <f>1!A18</f>
        <v>7</v>
      </c>
      <c r="B19" s="30" t="str">
        <f>1!B18</f>
        <v>Kapuas</v>
      </c>
      <c r="C19" s="62">
        <f t="shared" si="4"/>
        <v>339824</v>
      </c>
      <c r="D19" s="63">
        <v>0</v>
      </c>
      <c r="E19" s="63">
        <v>13828</v>
      </c>
      <c r="F19" s="63">
        <f>18180+19392</f>
        <v>37572</v>
      </c>
      <c r="G19" s="63">
        <f>20781+11155+15222+12526+14918+12340</f>
        <v>86942</v>
      </c>
      <c r="H19" s="63">
        <f>10716+6221+5986+3892</f>
        <v>26815</v>
      </c>
      <c r="I19" s="63">
        <f>2234+1693+2571</f>
        <v>6498</v>
      </c>
      <c r="J19" s="63">
        <f t="shared" si="0"/>
        <v>171655</v>
      </c>
      <c r="K19" s="63">
        <v>0</v>
      </c>
      <c r="L19" s="63">
        <v>12800</v>
      </c>
      <c r="M19" s="63">
        <f>17600+17042</f>
        <v>34642</v>
      </c>
      <c r="N19" s="63">
        <f>19223+13024+16396+15218+13864+13014</f>
        <v>90739</v>
      </c>
      <c r="O19" s="63">
        <f>8529+7611+3894+3578</f>
        <v>23612</v>
      </c>
      <c r="P19" s="63">
        <f>1735+2195+2446</f>
        <v>6376</v>
      </c>
      <c r="Q19" s="64">
        <f t="shared" si="1"/>
        <v>168169</v>
      </c>
      <c r="R19" s="66">
        <f t="shared" si="2"/>
        <v>48.97504690760517</v>
      </c>
      <c r="S19" s="382">
        <f t="shared" si="3"/>
        <v>102.07291474647526</v>
      </c>
    </row>
    <row r="20" spans="1:19" ht="15">
      <c r="A20" s="138">
        <f>1!A19</f>
        <v>8</v>
      </c>
      <c r="B20" s="30" t="str">
        <f>1!B19</f>
        <v>Pulang Pisau</v>
      </c>
      <c r="C20" s="62">
        <f t="shared" si="4"/>
        <v>122542</v>
      </c>
      <c r="D20" s="63">
        <v>1548</v>
      </c>
      <c r="E20" s="63">
        <f>5349-D20</f>
        <v>3801</v>
      </c>
      <c r="F20" s="63">
        <f>7175+6789</f>
        <v>13964</v>
      </c>
      <c r="G20" s="63">
        <f>5901+4846+5141+4841+5070+3572</f>
        <v>29371</v>
      </c>
      <c r="H20" s="64">
        <f>3608+3028+2585+2074</f>
        <v>11295</v>
      </c>
      <c r="I20" s="64">
        <f>916+1079+749</f>
        <v>2744</v>
      </c>
      <c r="J20" s="63">
        <f t="shared" si="0"/>
        <v>62723</v>
      </c>
      <c r="K20" s="63">
        <v>1460</v>
      </c>
      <c r="L20" s="63">
        <f>5986-K20</f>
        <v>4526</v>
      </c>
      <c r="M20" s="63">
        <f>7463+6202</f>
        <v>13665</v>
      </c>
      <c r="N20" s="63">
        <f>5900+4534+4939+5046+3934+3535</f>
        <v>27888</v>
      </c>
      <c r="O20" s="64">
        <f>3507+3283+1795+1316</f>
        <v>9901</v>
      </c>
      <c r="P20" s="64">
        <f>1286+362+731</f>
        <v>2379</v>
      </c>
      <c r="Q20" s="64">
        <f t="shared" si="1"/>
        <v>59819</v>
      </c>
      <c r="R20" s="66">
        <f t="shared" si="2"/>
        <v>56.19399655853674</v>
      </c>
      <c r="S20" s="67">
        <f t="shared" si="3"/>
        <v>104.85464484528326</v>
      </c>
    </row>
    <row r="21" spans="1:20" ht="15">
      <c r="A21" s="138">
        <f>1!A20</f>
        <v>9</v>
      </c>
      <c r="B21" s="30" t="str">
        <f>1!B20</f>
        <v>Gunung Mas</v>
      </c>
      <c r="C21" s="62">
        <f t="shared" si="4"/>
        <v>97898</v>
      </c>
      <c r="D21" s="63">
        <v>0</v>
      </c>
      <c r="E21" s="63">
        <v>5094</v>
      </c>
      <c r="F21" s="63">
        <f>5599+6324</f>
        <v>11923</v>
      </c>
      <c r="G21" s="63">
        <f>6343+4347+4150+4181+3723+2832</f>
        <v>25576</v>
      </c>
      <c r="H21" s="64">
        <f>2592+2010+1144+1012</f>
        <v>6758</v>
      </c>
      <c r="I21" s="64">
        <f>737+587+758</f>
        <v>2082</v>
      </c>
      <c r="J21" s="63">
        <f t="shared" si="0"/>
        <v>51433</v>
      </c>
      <c r="K21" s="63">
        <v>0</v>
      </c>
      <c r="L21" s="63">
        <v>4791</v>
      </c>
      <c r="M21" s="63">
        <f>5419+5658</f>
        <v>11077</v>
      </c>
      <c r="N21" s="63">
        <f>5421+4475+4392+3069+2993+2383</f>
        <v>22733</v>
      </c>
      <c r="O21" s="64">
        <f>2804+1583+1314+970</f>
        <v>6671</v>
      </c>
      <c r="P21" s="64">
        <f>472+434+287</f>
        <v>1193</v>
      </c>
      <c r="Q21" s="64">
        <f t="shared" si="1"/>
        <v>46465</v>
      </c>
      <c r="R21" s="66">
        <f t="shared" si="2"/>
        <v>58.57008649454145</v>
      </c>
      <c r="S21" s="67">
        <f t="shared" si="3"/>
        <v>110.69191864844508</v>
      </c>
      <c r="T21" s="469"/>
    </row>
    <row r="22" spans="1:20" ht="15">
      <c r="A22" s="138">
        <f>1!A21</f>
        <v>10</v>
      </c>
      <c r="B22" s="30" t="str">
        <f>1!B21</f>
        <v>Barito Selatan</v>
      </c>
      <c r="C22" s="62">
        <f t="shared" si="4"/>
        <v>127058</v>
      </c>
      <c r="D22" s="63">
        <v>0</v>
      </c>
      <c r="E22" s="63">
        <v>6571</v>
      </c>
      <c r="F22" s="63">
        <f>7251+5777</f>
        <v>13028</v>
      </c>
      <c r="G22" s="63">
        <f>6061+4798+5562+6226+4568+4736</f>
        <v>31951</v>
      </c>
      <c r="H22" s="64">
        <f>4787+3042+1632+1204</f>
        <v>10665</v>
      </c>
      <c r="I22" s="64">
        <f>1056+637+970</f>
        <v>2663</v>
      </c>
      <c r="J22" s="63">
        <f t="shared" si="0"/>
        <v>64878</v>
      </c>
      <c r="K22" s="63">
        <v>0</v>
      </c>
      <c r="L22" s="63">
        <v>4927</v>
      </c>
      <c r="M22" s="63">
        <f>7013+5583</f>
        <v>12596</v>
      </c>
      <c r="N22" s="63">
        <f>5472+5685+6930+4637+5426+4485</f>
        <v>32635</v>
      </c>
      <c r="O22" s="64">
        <f>3422+2714+1797+1785</f>
        <v>9718</v>
      </c>
      <c r="P22" s="64">
        <f>1102+496+706</f>
        <v>2304</v>
      </c>
      <c r="Q22" s="64">
        <f t="shared" si="1"/>
        <v>62180</v>
      </c>
      <c r="R22" s="66">
        <f t="shared" si="2"/>
        <v>49.534536124939684</v>
      </c>
      <c r="S22" s="67">
        <f t="shared" si="3"/>
        <v>104.33901576069475</v>
      </c>
      <c r="T22" s="469"/>
    </row>
    <row r="23" spans="1:19" ht="15">
      <c r="A23" s="138">
        <f>1!A22</f>
        <v>11</v>
      </c>
      <c r="B23" s="30" t="str">
        <f>1!B22</f>
        <v>Barito Timur</v>
      </c>
      <c r="C23" s="62">
        <f t="shared" si="4"/>
        <v>93898</v>
      </c>
      <c r="D23" s="63">
        <v>0</v>
      </c>
      <c r="E23" s="63">
        <v>3809</v>
      </c>
      <c r="F23" s="63">
        <f>5265+5039</f>
        <v>10304</v>
      </c>
      <c r="G23" s="63">
        <f>4205+3495+3925+4294+4339+3024</f>
        <v>23282</v>
      </c>
      <c r="H23" s="63">
        <f>2454+2387+2097+1000</f>
        <v>7938</v>
      </c>
      <c r="I23" s="63">
        <f>1102+585+677</f>
        <v>2364</v>
      </c>
      <c r="J23" s="63">
        <f t="shared" si="0"/>
        <v>47697</v>
      </c>
      <c r="K23" s="63">
        <v>0</v>
      </c>
      <c r="L23" s="63">
        <v>3997</v>
      </c>
      <c r="M23" s="63">
        <f>4068+4795</f>
        <v>8863</v>
      </c>
      <c r="N23" s="63">
        <f>3675+3884+3218+4969+4052+3012</f>
        <v>22810</v>
      </c>
      <c r="O23" s="63">
        <f>3086+2617+1506+1333</f>
        <v>8542</v>
      </c>
      <c r="P23" s="63">
        <f>835+529+625</f>
        <v>1989</v>
      </c>
      <c r="Q23" s="64">
        <f t="shared" si="1"/>
        <v>46201</v>
      </c>
      <c r="R23" s="66">
        <f t="shared" si="2"/>
        <v>50.063926356836916</v>
      </c>
      <c r="S23" s="382">
        <f t="shared" si="3"/>
        <v>103.23802515097076</v>
      </c>
    </row>
    <row r="24" spans="1:20" ht="15">
      <c r="A24" s="138">
        <f>1!A23</f>
        <v>12</v>
      </c>
      <c r="B24" s="30" t="str">
        <f>1!B23</f>
        <v>Barito Utara</v>
      </c>
      <c r="C24" s="62">
        <f t="shared" si="4"/>
        <v>122776</v>
      </c>
      <c r="D24" s="63">
        <v>1235</v>
      </c>
      <c r="E24" s="63">
        <f>5898-D24</f>
        <v>4663</v>
      </c>
      <c r="F24" s="63">
        <f>7238+6558</f>
        <v>13796</v>
      </c>
      <c r="G24" s="63">
        <f>5917+4564+5355+4289+5558+4788</f>
        <v>30471</v>
      </c>
      <c r="H24" s="64">
        <f>3630+2743+1754+1841</f>
        <v>9968</v>
      </c>
      <c r="I24" s="64">
        <f>733+421+720</f>
        <v>1874</v>
      </c>
      <c r="J24" s="63">
        <f t="shared" si="0"/>
        <v>62007</v>
      </c>
      <c r="K24" s="63">
        <v>1217</v>
      </c>
      <c r="L24" s="63">
        <f>5371-K24</f>
        <v>4154</v>
      </c>
      <c r="M24" s="63">
        <f>7593+6531</f>
        <v>14124</v>
      </c>
      <c r="N24" s="63">
        <f>5737+4861+6012+4500+5923+4240</f>
        <v>31273</v>
      </c>
      <c r="O24" s="64">
        <f>3560+2361+1058+1464</f>
        <v>8443</v>
      </c>
      <c r="P24" s="64">
        <f>552+860+146</f>
        <v>1558</v>
      </c>
      <c r="Q24" s="64">
        <f t="shared" si="1"/>
        <v>60769</v>
      </c>
      <c r="R24" s="66">
        <f t="shared" si="2"/>
        <v>53.17322687293369</v>
      </c>
      <c r="S24" s="67">
        <f t="shared" si="3"/>
        <v>102.03722292616303</v>
      </c>
      <c r="T24" s="469"/>
    </row>
    <row r="25" spans="1:19" ht="15">
      <c r="A25" s="138">
        <f>1!A24</f>
        <v>13</v>
      </c>
      <c r="B25" s="30" t="str">
        <f>1!B24</f>
        <v>Murung Raya</v>
      </c>
      <c r="C25" s="62">
        <f t="shared" si="4"/>
        <v>98834</v>
      </c>
      <c r="D25" s="63">
        <v>0</v>
      </c>
      <c r="E25" s="63">
        <v>4695</v>
      </c>
      <c r="F25" s="63">
        <f>7511+5609</f>
        <v>13120</v>
      </c>
      <c r="G25" s="63">
        <f>3891+2648+4697+3861+5407+2837</f>
        <v>23341</v>
      </c>
      <c r="H25" s="64">
        <f>2624+2450+1773+1402</f>
        <v>8249</v>
      </c>
      <c r="I25" s="64">
        <f>725+491+357</f>
        <v>1573</v>
      </c>
      <c r="J25" s="63">
        <f t="shared" si="0"/>
        <v>50978</v>
      </c>
      <c r="K25" s="63">
        <v>0</v>
      </c>
      <c r="L25" s="63">
        <v>4999</v>
      </c>
      <c r="M25" s="68">
        <f>6695+5718</f>
        <v>12413</v>
      </c>
      <c r="N25" s="63">
        <f>3212+3253+5347+3972+4431+2653</f>
        <v>22868</v>
      </c>
      <c r="O25" s="64">
        <f>2084+1733+1292+1045</f>
        <v>6154</v>
      </c>
      <c r="P25" s="64">
        <f>738+383+301</f>
        <v>1422</v>
      </c>
      <c r="Q25" s="64">
        <f t="shared" si="1"/>
        <v>47856</v>
      </c>
      <c r="R25" s="66">
        <f t="shared" si="2"/>
        <v>63.06012010822939</v>
      </c>
      <c r="S25" s="67">
        <f t="shared" si="3"/>
        <v>106.52373788030758</v>
      </c>
    </row>
    <row r="26" spans="1:19" ht="15">
      <c r="A26" s="138">
        <f>1!A25</f>
        <v>14</v>
      </c>
      <c r="B26" s="30" t="str">
        <f>1!B25</f>
        <v>Palangka Raya</v>
      </c>
      <c r="C26" s="62">
        <f t="shared" si="4"/>
        <v>200998</v>
      </c>
      <c r="D26" s="63">
        <v>0</v>
      </c>
      <c r="E26" s="63">
        <v>11168</v>
      </c>
      <c r="F26" s="63">
        <f>9659+9245</f>
        <v>18904</v>
      </c>
      <c r="G26" s="63">
        <f>10310+9009+9136+9167+7541+6328</f>
        <v>51491</v>
      </c>
      <c r="H26" s="64">
        <f>4624+5206+3234+2071</f>
        <v>15135</v>
      </c>
      <c r="I26" s="64">
        <f>1063+630+647</f>
        <v>2340</v>
      </c>
      <c r="J26" s="63">
        <f t="shared" si="0"/>
        <v>99038</v>
      </c>
      <c r="K26" s="63">
        <v>0</v>
      </c>
      <c r="L26" s="63">
        <v>8816</v>
      </c>
      <c r="M26" s="68">
        <f>9011+9868</f>
        <v>18879</v>
      </c>
      <c r="N26" s="63">
        <f>10964+12336+10322+8154+8552+6562</f>
        <v>56890</v>
      </c>
      <c r="O26" s="64">
        <f>5473+5029+2395+1433</f>
        <v>14330</v>
      </c>
      <c r="P26" s="64">
        <f>1127+519+1399</f>
        <v>3045</v>
      </c>
      <c r="Q26" s="64">
        <f t="shared" si="1"/>
        <v>101960</v>
      </c>
      <c r="R26" s="66">
        <f>(+D26+E26+F26+I26+K26+L26+M26+P26)/(+G26+H26+N26+O26)*100</f>
        <v>45.81344398821874</v>
      </c>
      <c r="S26" s="382">
        <f>+J26/Q26*100</f>
        <v>97.13417026284817</v>
      </c>
    </row>
    <row r="27" spans="1:19" ht="15">
      <c r="A27" s="30"/>
      <c r="B27" s="30"/>
      <c r="C27" s="62"/>
      <c r="D27" s="63"/>
      <c r="E27" s="63"/>
      <c r="F27" s="63"/>
      <c r="G27" s="63"/>
      <c r="H27" s="64"/>
      <c r="I27" s="64"/>
      <c r="J27" s="63"/>
      <c r="K27" s="63"/>
      <c r="L27" s="63"/>
      <c r="M27" s="68"/>
      <c r="N27" s="63"/>
      <c r="O27" s="64"/>
      <c r="P27" s="64"/>
      <c r="Q27" s="64"/>
      <c r="R27" s="66"/>
      <c r="S27" s="382"/>
    </row>
    <row r="28" spans="1:19" ht="15.75" thickBot="1">
      <c r="A28" s="37" t="s">
        <v>859</v>
      </c>
      <c r="B28" s="70"/>
      <c r="C28" s="71">
        <f>SUM(C13:C26)</f>
        <v>2183668</v>
      </c>
      <c r="D28" s="72">
        <f aca="true" t="shared" si="5" ref="D28:Q28">SUM(D13:D27)</f>
        <v>9205</v>
      </c>
      <c r="E28" s="72">
        <f t="shared" si="5"/>
        <v>90195</v>
      </c>
      <c r="F28" s="72">
        <f t="shared" si="5"/>
        <v>245547</v>
      </c>
      <c r="G28" s="72">
        <f t="shared" si="5"/>
        <v>556888</v>
      </c>
      <c r="H28" s="72">
        <f t="shared" si="5"/>
        <v>175501</v>
      </c>
      <c r="I28" s="72">
        <f t="shared" si="5"/>
        <v>42176</v>
      </c>
      <c r="J28" s="72">
        <f t="shared" si="5"/>
        <v>1119512</v>
      </c>
      <c r="K28" s="72">
        <f t="shared" si="5"/>
        <v>8754</v>
      </c>
      <c r="L28" s="72">
        <f t="shared" si="5"/>
        <v>86739</v>
      </c>
      <c r="M28" s="72">
        <f t="shared" si="5"/>
        <v>231587</v>
      </c>
      <c r="N28" s="72">
        <f t="shared" si="5"/>
        <v>547258</v>
      </c>
      <c r="O28" s="72">
        <f t="shared" si="5"/>
        <v>155167</v>
      </c>
      <c r="P28" s="72">
        <f t="shared" si="5"/>
        <v>34651</v>
      </c>
      <c r="Q28" s="72">
        <f t="shared" si="5"/>
        <v>1064156</v>
      </c>
      <c r="R28" s="383">
        <f>(+D28+E28+F28+I28+K28+L28+M28+P28)/(+G28+H28+N28+O28)*100</f>
        <v>52.19171265404435</v>
      </c>
      <c r="S28" s="384">
        <f>+J28/Q28*100</f>
        <v>105.20186889892082</v>
      </c>
    </row>
    <row r="29" spans="1:19" ht="15">
      <c r="A29" s="9"/>
      <c r="B29" s="9"/>
      <c r="C29" s="9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73"/>
      <c r="S29" s="18"/>
    </row>
    <row r="30" spans="1:16" ht="15">
      <c r="A30" s="525" t="s">
        <v>951</v>
      </c>
      <c r="P30" s="469"/>
    </row>
    <row r="31" spans="10:19" ht="15">
      <c r="J31" s="469"/>
      <c r="S31" s="511"/>
    </row>
    <row r="32" ht="15">
      <c r="C32" s="469"/>
    </row>
    <row r="33" ht="15">
      <c r="F33" s="469"/>
    </row>
  </sheetData>
  <mergeCells count="9">
    <mergeCell ref="A3:S3"/>
    <mergeCell ref="A4:S4"/>
    <mergeCell ref="A5:S5"/>
    <mergeCell ref="A6:S6"/>
    <mergeCell ref="R9:R11"/>
    <mergeCell ref="S9:S11"/>
    <mergeCell ref="A9:A11"/>
    <mergeCell ref="B9:B11"/>
    <mergeCell ref="C9:C11"/>
  </mergeCells>
  <printOptions horizontalCentered="1"/>
  <pageMargins left="1.6929133858267718" right="0.9055118110236221" top="1.141732283464567" bottom="0.9055118110236221" header="0" footer="0.7874015748031497"/>
  <pageSetup horizontalDpi="300" verticalDpi="300" orientation="landscape" paperSize="9" scale="54" r:id="rId1"/>
  <headerFooter alignWithMargins="0">
    <oddFooter>&amp;C59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E23"/>
  <sheetViews>
    <sheetView zoomScale="75" zoomScaleNormal="75" workbookViewId="0" topLeftCell="A1">
      <selection activeCell="B28" sqref="B28"/>
    </sheetView>
  </sheetViews>
  <sheetFormatPr defaultColWidth="9.140625" defaultRowHeight="12.75"/>
  <cols>
    <col min="1" max="1" width="5.7109375" style="14" customWidth="1"/>
    <col min="2" max="2" width="40.7109375" style="14" customWidth="1"/>
    <col min="3" max="4" width="25.7109375" style="14" customWidth="1"/>
    <col min="5" max="5" width="20.7109375" style="14" customWidth="1"/>
    <col min="6" max="16384" width="9.140625" style="14" customWidth="1"/>
  </cols>
  <sheetData>
    <row r="1" spans="1:5" ht="15">
      <c r="A1" s="13" t="s">
        <v>450</v>
      </c>
      <c r="B1" s="42"/>
      <c r="C1" s="42"/>
      <c r="D1" s="42"/>
      <c r="E1" s="42"/>
    </row>
    <row r="2" spans="1:5" ht="15">
      <c r="A2" s="42"/>
      <c r="B2" s="42"/>
      <c r="C2" s="42"/>
      <c r="D2" s="42"/>
      <c r="E2" s="42"/>
    </row>
    <row r="3" spans="1:5" ht="15">
      <c r="A3" s="641" t="s">
        <v>724</v>
      </c>
      <c r="B3" s="641"/>
      <c r="C3" s="641"/>
      <c r="D3" s="641"/>
      <c r="E3" s="641"/>
    </row>
    <row r="4" spans="1:5" ht="15">
      <c r="A4" s="641" t="str">
        <f>1!A5</f>
        <v>PROVINSI KALIMANTAN TENGAH</v>
      </c>
      <c r="B4" s="641"/>
      <c r="C4" s="641"/>
      <c r="D4" s="641"/>
      <c r="E4" s="641"/>
    </row>
    <row r="5" spans="1:5" ht="15">
      <c r="A5" s="641" t="str">
        <f>1!A6</f>
        <v>TAHUN 2009</v>
      </c>
      <c r="B5" s="641"/>
      <c r="C5" s="641"/>
      <c r="D5" s="641"/>
      <c r="E5" s="641"/>
    </row>
    <row r="6" spans="1:3" ht="15.75" thickBot="1">
      <c r="A6" s="18"/>
      <c r="C6" s="106"/>
    </row>
    <row r="7" spans="1:5" ht="19.5" customHeight="1">
      <c r="A7" s="634" t="s">
        <v>2</v>
      </c>
      <c r="B7" s="655" t="s">
        <v>200</v>
      </c>
      <c r="C7" s="558" t="s">
        <v>367</v>
      </c>
      <c r="D7" s="44" t="s">
        <v>725</v>
      </c>
      <c r="E7" s="44"/>
    </row>
    <row r="8" spans="1:5" ht="19.5" customHeight="1">
      <c r="A8" s="636"/>
      <c r="B8" s="675"/>
      <c r="C8" s="651"/>
      <c r="D8" s="124" t="s">
        <v>21</v>
      </c>
      <c r="E8" s="124" t="s">
        <v>27</v>
      </c>
    </row>
    <row r="9" spans="1:5" ht="15">
      <c r="A9" s="11">
        <v>1</v>
      </c>
      <c r="B9" s="11">
        <v>2</v>
      </c>
      <c r="C9" s="26">
        <v>3</v>
      </c>
      <c r="D9" s="11">
        <v>4</v>
      </c>
      <c r="E9" s="11">
        <v>5</v>
      </c>
    </row>
    <row r="10" spans="1:5" ht="15">
      <c r="A10" s="25"/>
      <c r="B10" s="25"/>
      <c r="C10" s="22"/>
      <c r="D10" s="22"/>
      <c r="E10" s="22"/>
    </row>
    <row r="11" spans="1:5" ht="24.75" customHeight="1">
      <c r="A11" s="30">
        <v>1</v>
      </c>
      <c r="B11" s="30" t="s">
        <v>233</v>
      </c>
      <c r="C11" s="31">
        <f>1+1+1+1+1+1+1+1+1+1+2+1+1+1</f>
        <v>15</v>
      </c>
      <c r="D11" s="31">
        <f>1+1+1+0+1+1+1+1+1+1+1+2+1+1</f>
        <v>14</v>
      </c>
      <c r="E11" s="198">
        <f>D11/C11*100</f>
        <v>93.33333333333333</v>
      </c>
    </row>
    <row r="12" spans="1:5" ht="21.75" customHeight="1">
      <c r="A12" s="30"/>
      <c r="B12" s="30"/>
      <c r="C12" s="31"/>
      <c r="D12" s="31"/>
      <c r="E12" s="198"/>
    </row>
    <row r="13" spans="1:5" ht="24.75" customHeight="1">
      <c r="A13" s="30">
        <v>2</v>
      </c>
      <c r="B13" s="30" t="s">
        <v>234</v>
      </c>
      <c r="C13" s="31">
        <f>0</f>
        <v>0</v>
      </c>
      <c r="D13" s="31">
        <f>0</f>
        <v>0</v>
      </c>
      <c r="E13" s="198">
        <v>0</v>
      </c>
    </row>
    <row r="14" spans="1:5" ht="21.75" customHeight="1">
      <c r="A14" s="30"/>
      <c r="B14" s="30"/>
      <c r="C14" s="31"/>
      <c r="D14" s="31"/>
      <c r="E14" s="198"/>
    </row>
    <row r="15" spans="1:5" ht="24.75" customHeight="1">
      <c r="A15" s="30">
        <v>3</v>
      </c>
      <c r="B15" s="30" t="s">
        <v>235</v>
      </c>
      <c r="C15" s="31">
        <f>0</f>
        <v>0</v>
      </c>
      <c r="D15" s="31">
        <f>0</f>
        <v>0</v>
      </c>
      <c r="E15" s="198">
        <v>0</v>
      </c>
    </row>
    <row r="16" spans="1:5" ht="21.75" customHeight="1">
      <c r="A16" s="30"/>
      <c r="B16" s="33"/>
      <c r="C16" s="186"/>
      <c r="D16" s="186"/>
      <c r="E16" s="198"/>
    </row>
    <row r="17" spans="1:5" ht="24.75" customHeight="1">
      <c r="A17" s="30">
        <v>4</v>
      </c>
      <c r="B17" s="33" t="s">
        <v>7</v>
      </c>
      <c r="C17" s="373">
        <f>11+9+12+23+19+9+14+5+10+13+15+12+9+11</f>
        <v>172</v>
      </c>
      <c r="D17" s="373">
        <f>9+5+4+19+5+2+2+5+1+3+6</f>
        <v>61</v>
      </c>
      <c r="E17" s="198">
        <f>D17/C17*100</f>
        <v>35.46511627906977</v>
      </c>
    </row>
    <row r="18" spans="1:5" ht="21.75" customHeight="1">
      <c r="A18" s="30"/>
      <c r="B18" s="33"/>
      <c r="C18" s="186"/>
      <c r="D18" s="186"/>
      <c r="E18" s="198"/>
    </row>
    <row r="19" spans="1:5" ht="24.75" customHeight="1">
      <c r="A19" s="30">
        <v>5</v>
      </c>
      <c r="B19" s="30" t="s">
        <v>726</v>
      </c>
      <c r="C19" s="31">
        <f>2+4</f>
        <v>6</v>
      </c>
      <c r="D19" s="31">
        <f>4</f>
        <v>4</v>
      </c>
      <c r="E19" s="198">
        <f>D19/C19*100</f>
        <v>66.66666666666666</v>
      </c>
    </row>
    <row r="20" spans="1:5" ht="21.75" customHeight="1">
      <c r="A20" s="34"/>
      <c r="B20" s="35"/>
      <c r="C20" s="36"/>
      <c r="D20" s="36"/>
      <c r="E20" s="198"/>
    </row>
    <row r="21" spans="1:5" ht="24.75" customHeight="1" thickBot="1">
      <c r="A21" s="165" t="s">
        <v>859</v>
      </c>
      <c r="B21" s="70"/>
      <c r="C21" s="41">
        <f>SUM(C11:C19)</f>
        <v>193</v>
      </c>
      <c r="D21" s="41">
        <f>SUM(D11:D19)</f>
        <v>79</v>
      </c>
      <c r="E21" s="200">
        <f>D21/C21*100</f>
        <v>40.932642487046635</v>
      </c>
    </row>
    <row r="22" ht="15">
      <c r="A22" s="525" t="s">
        <v>243</v>
      </c>
    </row>
    <row r="23" ht="15">
      <c r="E23" s="511"/>
    </row>
  </sheetData>
  <mergeCells count="6">
    <mergeCell ref="A3:E3"/>
    <mergeCell ref="A7:A8"/>
    <mergeCell ref="B7:B8"/>
    <mergeCell ref="C7:C8"/>
    <mergeCell ref="A4:E4"/>
    <mergeCell ref="A5:E5"/>
  </mergeCells>
  <printOptions horizontalCentered="1"/>
  <pageMargins left="1.6929133858267718" right="0.9055118110236221" top="0.7874015748031497" bottom="0.9055118110236221" header="0" footer="1.1811023622047245"/>
  <pageSetup fitToHeight="1" fitToWidth="1" horizontalDpi="300" verticalDpi="300" orientation="landscape" paperSize="9" scale="99" r:id="rId1"/>
  <headerFooter alignWithMargins="0">
    <oddFooter>&amp;C86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G28"/>
  <sheetViews>
    <sheetView zoomScale="75" zoomScaleNormal="75" workbookViewId="0" topLeftCell="A1">
      <selection activeCell="C12" sqref="C12"/>
    </sheetView>
  </sheetViews>
  <sheetFormatPr defaultColWidth="9.140625" defaultRowHeight="12.75"/>
  <cols>
    <col min="1" max="1" width="5.7109375" style="14" customWidth="1"/>
    <col min="2" max="2" width="25.7109375" style="14" customWidth="1"/>
    <col min="3" max="3" width="23.00390625" style="14" customWidth="1"/>
    <col min="4" max="6" width="18.7109375" style="14" customWidth="1"/>
    <col min="7" max="16384" width="9.140625" style="14" customWidth="1"/>
  </cols>
  <sheetData>
    <row r="1" ht="15">
      <c r="A1" s="14" t="s">
        <v>355</v>
      </c>
    </row>
    <row r="3" spans="1:7" ht="15">
      <c r="A3" s="641" t="s">
        <v>265</v>
      </c>
      <c r="B3" s="641"/>
      <c r="C3" s="641"/>
      <c r="D3" s="641"/>
      <c r="E3" s="641"/>
      <c r="F3" s="641"/>
      <c r="G3" s="5"/>
    </row>
    <row r="4" spans="1:7" ht="15">
      <c r="A4" s="642" t="s">
        <v>973</v>
      </c>
      <c r="B4" s="642"/>
      <c r="C4" s="642"/>
      <c r="D4" s="642"/>
      <c r="E4" s="642"/>
      <c r="F4" s="642"/>
      <c r="G4" s="9"/>
    </row>
    <row r="5" spans="1:7" ht="15">
      <c r="A5" s="642" t="str">
        <f>1!A6</f>
        <v>TAHUN 2009</v>
      </c>
      <c r="B5" s="642"/>
      <c r="C5" s="642"/>
      <c r="D5" s="642"/>
      <c r="E5" s="642"/>
      <c r="F5" s="642"/>
      <c r="G5" s="9"/>
    </row>
    <row r="6" spans="1:7" ht="15.75" thickBot="1">
      <c r="A6" s="18"/>
      <c r="B6" s="18"/>
      <c r="C6" s="18"/>
      <c r="D6" s="18"/>
      <c r="E6" s="18"/>
      <c r="F6" s="18"/>
      <c r="G6" s="18"/>
    </row>
    <row r="7" spans="1:7" ht="18" customHeight="1">
      <c r="A7" s="637" t="s">
        <v>2</v>
      </c>
      <c r="B7" s="637" t="s">
        <v>3</v>
      </c>
      <c r="C7" s="637" t="s">
        <v>261</v>
      </c>
      <c r="D7" s="676" t="s">
        <v>264</v>
      </c>
      <c r="E7" s="677"/>
      <c r="F7" s="678"/>
      <c r="G7" s="18"/>
    </row>
    <row r="8" spans="1:6" ht="30">
      <c r="A8" s="639"/>
      <c r="B8" s="639"/>
      <c r="C8" s="639"/>
      <c r="D8" s="59" t="s">
        <v>21</v>
      </c>
      <c r="E8" s="215" t="s">
        <v>266</v>
      </c>
      <c r="F8" s="23" t="s">
        <v>27</v>
      </c>
    </row>
    <row r="9" spans="1:6" ht="15">
      <c r="A9" s="59">
        <v>1</v>
      </c>
      <c r="B9" s="59">
        <v>2</v>
      </c>
      <c r="C9" s="59">
        <v>4</v>
      </c>
      <c r="D9" s="59">
        <v>5</v>
      </c>
      <c r="E9" s="59">
        <v>6</v>
      </c>
      <c r="F9" s="59">
        <v>7</v>
      </c>
    </row>
    <row r="10" spans="1:6" ht="15">
      <c r="A10" s="138">
        <f>6!A11</f>
        <v>1</v>
      </c>
      <c r="B10" s="138" t="str">
        <f>6!B11</f>
        <v>Kotawaringin Barat</v>
      </c>
      <c r="C10" s="139">
        <f>'22'!C11</f>
        <v>89</v>
      </c>
      <c r="D10" s="139">
        <v>6</v>
      </c>
      <c r="E10" s="139">
        <v>3</v>
      </c>
      <c r="F10" s="141">
        <f aca="true" t="shared" si="0" ref="F10:F25">E10/D10*100</f>
        <v>50</v>
      </c>
    </row>
    <row r="11" spans="1:6" ht="15">
      <c r="A11" s="138">
        <f>6!A12</f>
        <v>2</v>
      </c>
      <c r="B11" s="138" t="str">
        <f>6!B12</f>
        <v>Lamandau</v>
      </c>
      <c r="C11" s="139">
        <f>'22'!C12</f>
        <v>83</v>
      </c>
      <c r="D11" s="139">
        <f>0</f>
        <v>0</v>
      </c>
      <c r="E11" s="139">
        <f>0</f>
        <v>0</v>
      </c>
      <c r="F11" s="141">
        <v>0</v>
      </c>
    </row>
    <row r="12" spans="1:6" ht="15">
      <c r="A12" s="138">
        <f>6!A13</f>
        <v>3</v>
      </c>
      <c r="B12" s="138" t="str">
        <f>6!B13</f>
        <v>Sukamara</v>
      </c>
      <c r="C12" s="139">
        <f>'22'!C13</f>
        <v>32</v>
      </c>
      <c r="D12" s="139">
        <v>3</v>
      </c>
      <c r="E12" s="139">
        <v>2</v>
      </c>
      <c r="F12" s="141">
        <f t="shared" si="0"/>
        <v>66.66666666666666</v>
      </c>
    </row>
    <row r="13" spans="1:6" ht="15">
      <c r="A13" s="138">
        <f>6!A14</f>
        <v>4</v>
      </c>
      <c r="B13" s="138" t="str">
        <f>6!B14</f>
        <v>Kotawaringin Timur</v>
      </c>
      <c r="C13" s="139">
        <f>'22'!C14</f>
        <v>165</v>
      </c>
      <c r="D13" s="139">
        <v>3</v>
      </c>
      <c r="E13" s="139">
        <v>3</v>
      </c>
      <c r="F13" s="141">
        <f t="shared" si="0"/>
        <v>100</v>
      </c>
    </row>
    <row r="14" spans="1:6" ht="15">
      <c r="A14" s="138">
        <f>6!A15</f>
        <v>5</v>
      </c>
      <c r="B14" s="138" t="str">
        <f>6!B15</f>
        <v>Seruyan</v>
      </c>
      <c r="C14" s="139">
        <f>'22'!C15</f>
        <v>101</v>
      </c>
      <c r="D14" s="139">
        <v>0</v>
      </c>
      <c r="E14" s="139">
        <v>0</v>
      </c>
      <c r="F14" s="141">
        <v>0</v>
      </c>
    </row>
    <row r="15" spans="1:6" ht="15">
      <c r="A15" s="138">
        <f>6!A16</f>
        <v>6</v>
      </c>
      <c r="B15" s="138" t="str">
        <f>6!B16</f>
        <v>Katingan</v>
      </c>
      <c r="C15" s="139">
        <f>'22'!C16</f>
        <v>161</v>
      </c>
      <c r="D15" s="139">
        <v>6</v>
      </c>
      <c r="E15" s="139">
        <v>6</v>
      </c>
      <c r="F15" s="141">
        <f t="shared" si="0"/>
        <v>100</v>
      </c>
    </row>
    <row r="16" spans="1:6" ht="15">
      <c r="A16" s="138">
        <f>6!A17</f>
        <v>7</v>
      </c>
      <c r="B16" s="138" t="str">
        <f>6!B17</f>
        <v>Kapuas</v>
      </c>
      <c r="C16" s="139">
        <f>'22'!C17</f>
        <v>187</v>
      </c>
      <c r="D16" s="139">
        <v>13</v>
      </c>
      <c r="E16" s="139">
        <v>13</v>
      </c>
      <c r="F16" s="141">
        <f t="shared" si="0"/>
        <v>100</v>
      </c>
    </row>
    <row r="17" spans="1:6" ht="15">
      <c r="A17" s="138">
        <f>6!A18</f>
        <v>8</v>
      </c>
      <c r="B17" s="138" t="str">
        <f>6!B18</f>
        <v>Pulang Pisau</v>
      </c>
      <c r="C17" s="139">
        <f>'22'!C18</f>
        <v>97</v>
      </c>
      <c r="D17" s="139">
        <v>2</v>
      </c>
      <c r="E17" s="139">
        <v>2</v>
      </c>
      <c r="F17" s="141">
        <f t="shared" si="0"/>
        <v>100</v>
      </c>
    </row>
    <row r="18" spans="1:6" ht="15">
      <c r="A18" s="138">
        <f>6!A19</f>
        <v>9</v>
      </c>
      <c r="B18" s="138" t="str">
        <f>6!B19</f>
        <v>Gunung Mas</v>
      </c>
      <c r="C18" s="139">
        <f>'22'!C19</f>
        <v>125</v>
      </c>
      <c r="D18" s="139">
        <v>34</v>
      </c>
      <c r="E18" s="139">
        <v>34</v>
      </c>
      <c r="F18" s="141">
        <f t="shared" si="0"/>
        <v>100</v>
      </c>
    </row>
    <row r="19" spans="1:6" ht="15">
      <c r="A19" s="138">
        <f>6!A20</f>
        <v>10</v>
      </c>
      <c r="B19" s="138" t="str">
        <f>6!B20</f>
        <v>Barito Selatan</v>
      </c>
      <c r="C19" s="139">
        <f>'22'!C20</f>
        <v>93</v>
      </c>
      <c r="D19" s="139">
        <v>3</v>
      </c>
      <c r="E19" s="139">
        <v>3</v>
      </c>
      <c r="F19" s="141">
        <f t="shared" si="0"/>
        <v>100</v>
      </c>
    </row>
    <row r="20" spans="1:6" ht="15">
      <c r="A20" s="138">
        <f>6!A21</f>
        <v>11</v>
      </c>
      <c r="B20" s="138" t="str">
        <f>6!B21</f>
        <v>Barito Timur</v>
      </c>
      <c r="C20" s="139">
        <f>'22'!C21</f>
        <v>105</v>
      </c>
      <c r="D20" s="139">
        <v>38</v>
      </c>
      <c r="E20" s="139">
        <v>38</v>
      </c>
      <c r="F20" s="141">
        <f t="shared" si="0"/>
        <v>100</v>
      </c>
    </row>
    <row r="21" spans="1:6" ht="15">
      <c r="A21" s="138">
        <f>6!A22</f>
        <v>12</v>
      </c>
      <c r="B21" s="138" t="str">
        <f>6!B22</f>
        <v>Barito Utara</v>
      </c>
      <c r="C21" s="139">
        <f>'22'!C22</f>
        <v>103</v>
      </c>
      <c r="D21" s="139">
        <v>4</v>
      </c>
      <c r="E21" s="139">
        <v>4</v>
      </c>
      <c r="F21" s="141">
        <f t="shared" si="0"/>
        <v>100</v>
      </c>
    </row>
    <row r="22" spans="1:6" ht="15">
      <c r="A22" s="138">
        <f>6!A23</f>
        <v>13</v>
      </c>
      <c r="B22" s="138" t="str">
        <f>6!B23</f>
        <v>Murung Raya</v>
      </c>
      <c r="C22" s="139">
        <f>'22'!C23</f>
        <v>124</v>
      </c>
      <c r="D22" s="139">
        <v>1</v>
      </c>
      <c r="E22" s="139">
        <v>1</v>
      </c>
      <c r="F22" s="141">
        <f t="shared" si="0"/>
        <v>100</v>
      </c>
    </row>
    <row r="23" spans="1:6" ht="15">
      <c r="A23" s="138">
        <f>6!A24</f>
        <v>14</v>
      </c>
      <c r="B23" s="138" t="str">
        <f>6!B24</f>
        <v>Palangka Raya</v>
      </c>
      <c r="C23" s="139">
        <f>'22'!C24</f>
        <v>30</v>
      </c>
      <c r="D23" s="139">
        <v>6</v>
      </c>
      <c r="E23" s="139">
        <v>6</v>
      </c>
      <c r="F23" s="141">
        <f>E23/D23*100</f>
        <v>100</v>
      </c>
    </row>
    <row r="24" spans="1:7" ht="15">
      <c r="A24" s="158"/>
      <c r="B24" s="158"/>
      <c r="C24" s="164"/>
      <c r="D24" s="164"/>
      <c r="E24" s="164"/>
      <c r="F24" s="141"/>
      <c r="G24" s="18"/>
    </row>
    <row r="25" spans="1:7" ht="15.75" thickBot="1">
      <c r="A25" s="165" t="s">
        <v>859</v>
      </c>
      <c r="B25" s="175"/>
      <c r="C25" s="214">
        <f>SUM(C10:C24)</f>
        <v>1495</v>
      </c>
      <c r="D25" s="214">
        <f>SUM(D10:D24)</f>
        <v>119</v>
      </c>
      <c r="E25" s="214">
        <f>SUM(E10:E24)</f>
        <v>115</v>
      </c>
      <c r="F25" s="160">
        <f t="shared" si="0"/>
        <v>96.63865546218487</v>
      </c>
      <c r="G25" s="9"/>
    </row>
    <row r="26" spans="1:7" ht="15">
      <c r="A26" s="73"/>
      <c r="B26" s="73"/>
      <c r="C26" s="114"/>
      <c r="D26" s="114"/>
      <c r="E26" s="114"/>
      <c r="F26" s="114"/>
      <c r="G26" s="9"/>
    </row>
    <row r="27" ht="15">
      <c r="A27" s="525" t="s">
        <v>243</v>
      </c>
    </row>
    <row r="28" ht="15">
      <c r="F28" s="511"/>
    </row>
  </sheetData>
  <mergeCells count="7">
    <mergeCell ref="D7:F7"/>
    <mergeCell ref="A7:A8"/>
    <mergeCell ref="C7:C8"/>
    <mergeCell ref="B7:B8"/>
    <mergeCell ref="A3:F3"/>
    <mergeCell ref="A4:F4"/>
    <mergeCell ref="A5:F5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r:id="rId1"/>
  <headerFooter alignWithMargins="0">
    <oddFooter>&amp;C87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J25"/>
  <sheetViews>
    <sheetView zoomScale="75" zoomScaleNormal="75" workbookViewId="0" topLeftCell="A4">
      <selection activeCell="H13" sqref="H13"/>
    </sheetView>
  </sheetViews>
  <sheetFormatPr defaultColWidth="9.140625" defaultRowHeight="12.75"/>
  <cols>
    <col min="1" max="1" width="5.7109375" style="14" customWidth="1"/>
    <col min="2" max="2" width="30.7109375" style="14" customWidth="1"/>
    <col min="3" max="9" width="15.7109375" style="14" customWidth="1"/>
    <col min="10" max="16384" width="9.140625" style="14" customWidth="1"/>
  </cols>
  <sheetData>
    <row r="1" ht="15">
      <c r="A1" s="13" t="s">
        <v>480</v>
      </c>
    </row>
    <row r="3" spans="1:9" ht="15">
      <c r="A3" s="641" t="s">
        <v>727</v>
      </c>
      <c r="B3" s="641"/>
      <c r="C3" s="641"/>
      <c r="D3" s="641"/>
      <c r="E3" s="641"/>
      <c r="F3" s="641"/>
      <c r="G3" s="641"/>
      <c r="H3" s="641"/>
      <c r="I3" s="641"/>
    </row>
    <row r="4" spans="1:9" ht="15">
      <c r="A4" s="641" t="s">
        <v>869</v>
      </c>
      <c r="B4" s="641"/>
      <c r="C4" s="641"/>
      <c r="D4" s="641"/>
      <c r="E4" s="641"/>
      <c r="F4" s="641"/>
      <c r="G4" s="641"/>
      <c r="H4" s="641"/>
      <c r="I4" s="641"/>
    </row>
    <row r="5" spans="1:9" ht="15">
      <c r="A5" s="641" t="str">
        <f>1!A5</f>
        <v>PROVINSI KALIMANTAN TENGAH</v>
      </c>
      <c r="B5" s="641"/>
      <c r="C5" s="641"/>
      <c r="D5" s="641"/>
      <c r="E5" s="641"/>
      <c r="F5" s="641"/>
      <c r="G5" s="641"/>
      <c r="H5" s="641"/>
      <c r="I5" s="641"/>
    </row>
    <row r="6" spans="1:9" ht="15">
      <c r="A6" s="641" t="str">
        <f>1!A6</f>
        <v>TAHUN 2009</v>
      </c>
      <c r="B6" s="641"/>
      <c r="C6" s="641"/>
      <c r="D6" s="641"/>
      <c r="E6" s="641"/>
      <c r="F6" s="641"/>
      <c r="G6" s="641"/>
      <c r="H6" s="641"/>
      <c r="I6" s="641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ht="15.75" thickBot="1"/>
    <row r="9" spans="1:9" ht="18" customHeight="1">
      <c r="A9" s="663" t="s">
        <v>2</v>
      </c>
      <c r="B9" s="594" t="s">
        <v>121</v>
      </c>
      <c r="C9" s="44" t="s">
        <v>728</v>
      </c>
      <c r="D9" s="44"/>
      <c r="E9" s="665" t="s">
        <v>122</v>
      </c>
      <c r="F9" s="665" t="s">
        <v>123</v>
      </c>
      <c r="G9" s="665" t="s">
        <v>124</v>
      </c>
      <c r="H9" s="679" t="s">
        <v>519</v>
      </c>
      <c r="I9" s="665" t="s">
        <v>125</v>
      </c>
    </row>
    <row r="10" spans="1:9" ht="25.5" customHeight="1">
      <c r="A10" s="664"/>
      <c r="B10" s="582"/>
      <c r="C10" s="124" t="s">
        <v>126</v>
      </c>
      <c r="D10" s="124" t="s">
        <v>26</v>
      </c>
      <c r="E10" s="666"/>
      <c r="F10" s="666"/>
      <c r="G10" s="666"/>
      <c r="H10" s="666"/>
      <c r="I10" s="666"/>
    </row>
    <row r="11" spans="1:9" ht="15">
      <c r="A11" s="117">
        <v>1</v>
      </c>
      <c r="B11" s="28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</row>
    <row r="12" spans="1:9" ht="15">
      <c r="A12" s="33">
        <v>1</v>
      </c>
      <c r="B12" s="183" t="s">
        <v>906</v>
      </c>
      <c r="C12" s="31">
        <f>1+3+4+1</f>
        <v>9</v>
      </c>
      <c r="D12" s="139">
        <f>1+7+38+1</f>
        <v>47</v>
      </c>
      <c r="E12" s="139">
        <f>4329+49811+43545+256</f>
        <v>97941</v>
      </c>
      <c r="F12" s="31">
        <f>70+659+397+18</f>
        <v>1144</v>
      </c>
      <c r="G12" s="31">
        <f>4+7+8</f>
        <v>19</v>
      </c>
      <c r="H12" s="198">
        <f>F12/E12*100</f>
        <v>1.1680501526429177</v>
      </c>
      <c r="I12" s="198">
        <f>G12/F12*100</f>
        <v>1.6608391608391608</v>
      </c>
    </row>
    <row r="13" spans="1:9" ht="15">
      <c r="A13" s="33">
        <v>2</v>
      </c>
      <c r="B13" s="183" t="s">
        <v>908</v>
      </c>
      <c r="C13" s="31">
        <f>3+1</f>
        <v>4</v>
      </c>
      <c r="D13" s="139">
        <f>3+1</f>
        <v>4</v>
      </c>
      <c r="E13" s="139">
        <f>59999+21105</f>
        <v>81104</v>
      </c>
      <c r="F13" s="31">
        <f>3+1</f>
        <v>4</v>
      </c>
      <c r="G13" s="31">
        <v>0</v>
      </c>
      <c r="H13" s="198">
        <v>0</v>
      </c>
      <c r="I13" s="198">
        <f aca="true" t="shared" si="0" ref="I13:I22">G13/F13*100</f>
        <v>0</v>
      </c>
    </row>
    <row r="14" spans="1:9" ht="15">
      <c r="A14" s="33">
        <v>3</v>
      </c>
      <c r="B14" s="183" t="s">
        <v>909</v>
      </c>
      <c r="C14" s="31">
        <v>1</v>
      </c>
      <c r="D14" s="139">
        <v>1</v>
      </c>
      <c r="E14" s="139">
        <v>74</v>
      </c>
      <c r="F14" s="31">
        <v>1</v>
      </c>
      <c r="G14" s="31"/>
      <c r="H14" s="198">
        <f aca="true" t="shared" si="1" ref="H14:H22">F14/E14*100</f>
        <v>1.3513513513513513</v>
      </c>
      <c r="I14" s="198">
        <f t="shared" si="0"/>
        <v>0</v>
      </c>
    </row>
    <row r="15" spans="1:9" ht="15">
      <c r="A15" s="33">
        <v>4</v>
      </c>
      <c r="B15" s="183" t="s">
        <v>910</v>
      </c>
      <c r="C15" s="31">
        <v>1</v>
      </c>
      <c r="D15" s="139">
        <v>1</v>
      </c>
      <c r="E15" s="139">
        <v>3092</v>
      </c>
      <c r="F15" s="31">
        <v>3</v>
      </c>
      <c r="G15" s="31">
        <v>1</v>
      </c>
      <c r="H15" s="198">
        <f t="shared" si="1"/>
        <v>0.09702457956015524</v>
      </c>
      <c r="I15" s="198">
        <f t="shared" si="0"/>
        <v>33.33333333333333</v>
      </c>
    </row>
    <row r="16" spans="1:9" ht="15">
      <c r="A16" s="33">
        <v>5</v>
      </c>
      <c r="B16" s="183" t="s">
        <v>529</v>
      </c>
      <c r="C16" s="31">
        <v>2</v>
      </c>
      <c r="D16" s="139">
        <v>2</v>
      </c>
      <c r="E16" s="139">
        <v>753</v>
      </c>
      <c r="F16" s="31">
        <v>2</v>
      </c>
      <c r="G16" s="31"/>
      <c r="H16" s="198">
        <f t="shared" si="1"/>
        <v>0.2656042496679947</v>
      </c>
      <c r="I16" s="198">
        <f t="shared" si="0"/>
        <v>0</v>
      </c>
    </row>
    <row r="17" spans="1:9" ht="15">
      <c r="A17" s="33">
        <v>6</v>
      </c>
      <c r="B17" s="183" t="s">
        <v>645</v>
      </c>
      <c r="C17" s="31">
        <f>1</f>
        <v>1</v>
      </c>
      <c r="D17" s="139">
        <f>1</f>
        <v>1</v>
      </c>
      <c r="E17" s="139">
        <f>560</f>
        <v>560</v>
      </c>
      <c r="F17" s="31">
        <f>14</f>
        <v>14</v>
      </c>
      <c r="G17" s="31">
        <v>0</v>
      </c>
      <c r="H17" s="198">
        <f t="shared" si="1"/>
        <v>2.5</v>
      </c>
      <c r="I17" s="198">
        <f t="shared" si="0"/>
        <v>0</v>
      </c>
    </row>
    <row r="18" spans="1:10" ht="15.75">
      <c r="A18" s="33">
        <v>7</v>
      </c>
      <c r="B18" s="183" t="s">
        <v>16</v>
      </c>
      <c r="C18" s="31">
        <f>10+2+2+4+1</f>
        <v>19</v>
      </c>
      <c r="D18" s="139">
        <f>34+4+4+13+3</f>
        <v>58</v>
      </c>
      <c r="E18" s="139">
        <f>95364+33565+36416+27881+27292</f>
        <v>220518</v>
      </c>
      <c r="F18" s="31">
        <f>12+5+154+122+8</f>
        <v>301</v>
      </c>
      <c r="G18" s="31">
        <f>3+2+1</f>
        <v>6</v>
      </c>
      <c r="H18" s="198">
        <f t="shared" si="1"/>
        <v>0.13649679391251507</v>
      </c>
      <c r="I18" s="198">
        <f t="shared" si="0"/>
        <v>1.9933554817275747</v>
      </c>
      <c r="J18" s="193"/>
    </row>
    <row r="19" spans="1:9" ht="15">
      <c r="A19" s="33">
        <v>8</v>
      </c>
      <c r="B19" s="183" t="s">
        <v>202</v>
      </c>
      <c r="C19" s="31">
        <f>2+1+1+1</f>
        <v>5</v>
      </c>
      <c r="D19" s="139">
        <f>2+1+1+1</f>
        <v>5</v>
      </c>
      <c r="E19" s="139">
        <f>157+120+461+84</f>
        <v>822</v>
      </c>
      <c r="F19" s="31">
        <f>157+18+42+71</f>
        <v>288</v>
      </c>
      <c r="G19" s="31">
        <v>0</v>
      </c>
      <c r="H19" s="198">
        <f t="shared" si="1"/>
        <v>35.03649635036496</v>
      </c>
      <c r="I19" s="198">
        <f t="shared" si="0"/>
        <v>0</v>
      </c>
    </row>
    <row r="20" spans="1:9" ht="15">
      <c r="A20" s="33">
        <v>9</v>
      </c>
      <c r="B20" s="183" t="s">
        <v>393</v>
      </c>
      <c r="C20" s="31">
        <f>3+2</f>
        <v>5</v>
      </c>
      <c r="D20" s="31">
        <f>4+3</f>
        <v>7</v>
      </c>
      <c r="E20" s="31">
        <f>38578+5052</f>
        <v>43630</v>
      </c>
      <c r="F20" s="31">
        <f>444+119</f>
        <v>563</v>
      </c>
      <c r="G20" s="31">
        <v>0</v>
      </c>
      <c r="H20" s="198">
        <f t="shared" si="1"/>
        <v>1.2903965161586064</v>
      </c>
      <c r="I20" s="198">
        <f t="shared" si="0"/>
        <v>0</v>
      </c>
    </row>
    <row r="21" spans="1:9" ht="15">
      <c r="A21" s="33">
        <v>10</v>
      </c>
      <c r="B21" s="183" t="s">
        <v>552</v>
      </c>
      <c r="C21" s="31">
        <f>1</f>
        <v>1</v>
      </c>
      <c r="D21" s="31">
        <f>1</f>
        <v>1</v>
      </c>
      <c r="E21" s="31">
        <f>1220</f>
        <v>1220</v>
      </c>
      <c r="F21" s="31">
        <f>2</f>
        <v>2</v>
      </c>
      <c r="G21" s="31"/>
      <c r="H21" s="198">
        <f t="shared" si="1"/>
        <v>0.16393442622950818</v>
      </c>
      <c r="I21" s="198">
        <f t="shared" si="0"/>
        <v>0</v>
      </c>
    </row>
    <row r="22" spans="1:9" ht="15">
      <c r="A22" s="33">
        <v>11</v>
      </c>
      <c r="B22" s="183" t="s">
        <v>553</v>
      </c>
      <c r="C22" s="31">
        <f>1</f>
        <v>1</v>
      </c>
      <c r="D22" s="31">
        <f>1</f>
        <v>1</v>
      </c>
      <c r="E22" s="31">
        <f>3699</f>
        <v>3699</v>
      </c>
      <c r="F22" s="31">
        <f>29</f>
        <v>29</v>
      </c>
      <c r="G22" s="31"/>
      <c r="H22" s="198">
        <f t="shared" si="1"/>
        <v>0.7839956745066234</v>
      </c>
      <c r="I22" s="198">
        <f t="shared" si="0"/>
        <v>0</v>
      </c>
    </row>
    <row r="23" spans="1:9" ht="15.75" thickBot="1">
      <c r="A23" s="103"/>
      <c r="B23" s="103"/>
      <c r="C23" s="212"/>
      <c r="D23" s="212"/>
      <c r="E23" s="212"/>
      <c r="F23" s="212"/>
      <c r="G23" s="212"/>
      <c r="H23" s="216"/>
      <c r="I23" s="216"/>
    </row>
    <row r="24" spans="1:9" ht="1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5">
      <c r="A25" s="525" t="s">
        <v>243</v>
      </c>
      <c r="C25" s="18"/>
      <c r="D25" s="18"/>
      <c r="E25" s="18"/>
      <c r="F25" s="18"/>
      <c r="G25" s="18"/>
      <c r="H25" s="18"/>
      <c r="I25" s="18"/>
    </row>
  </sheetData>
  <mergeCells count="11">
    <mergeCell ref="H9:H10"/>
    <mergeCell ref="I9:I10"/>
    <mergeCell ref="F9:F10"/>
    <mergeCell ref="A9:A10"/>
    <mergeCell ref="E9:E10"/>
    <mergeCell ref="G9:G10"/>
    <mergeCell ref="B9:B10"/>
    <mergeCell ref="A3:I3"/>
    <mergeCell ref="A4:I4"/>
    <mergeCell ref="A5:I5"/>
    <mergeCell ref="A6:I6"/>
  </mergeCells>
  <printOptions horizontalCentered="1"/>
  <pageMargins left="1.6929133858267718" right="0.9055118110236221" top="1.141732283464567" bottom="0.9055118110236221" header="0" footer="1.1811023622047245"/>
  <pageSetup fitToHeight="1" fitToWidth="1" horizontalDpi="300" verticalDpi="300" orientation="landscape" paperSize="9" scale="80" r:id="rId1"/>
  <headerFooter alignWithMargins="0">
    <oddFooter>&amp;C88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E28"/>
  <sheetViews>
    <sheetView zoomScale="75" zoomScaleNormal="75" workbookViewId="0" topLeftCell="A1">
      <selection activeCell="I26" sqref="I26:M26"/>
    </sheetView>
  </sheetViews>
  <sheetFormatPr defaultColWidth="9.140625" defaultRowHeight="12.75"/>
  <cols>
    <col min="1" max="1" width="5.7109375" style="14" customWidth="1"/>
    <col min="2" max="2" width="30.7109375" style="14" customWidth="1"/>
    <col min="3" max="3" width="13.8515625" style="14" customWidth="1"/>
    <col min="4" max="4" width="29.140625" style="14" customWidth="1"/>
    <col min="5" max="5" width="27.28125" style="14" customWidth="1"/>
    <col min="6" max="16384" width="9.140625" style="14" customWidth="1"/>
  </cols>
  <sheetData>
    <row r="1" ht="15">
      <c r="A1" s="13" t="s">
        <v>356</v>
      </c>
    </row>
    <row r="3" spans="1:5" ht="15">
      <c r="A3" s="641" t="s">
        <v>136</v>
      </c>
      <c r="B3" s="641"/>
      <c r="C3" s="641"/>
      <c r="D3" s="641"/>
      <c r="E3" s="641"/>
    </row>
    <row r="4" spans="1:5" ht="15">
      <c r="A4" s="641" t="str">
        <f>1!A5</f>
        <v>PROVINSI KALIMANTAN TENGAH</v>
      </c>
      <c r="B4" s="641"/>
      <c r="C4" s="641"/>
      <c r="D4" s="641"/>
      <c r="E4" s="641"/>
    </row>
    <row r="5" spans="1:5" ht="15">
      <c r="A5" s="641" t="str">
        <f>1!A6</f>
        <v>TAHUN 2009</v>
      </c>
      <c r="B5" s="641"/>
      <c r="C5" s="641"/>
      <c r="D5" s="641"/>
      <c r="E5" s="641"/>
    </row>
    <row r="6" spans="1:5" ht="15.75" thickBot="1">
      <c r="A6" s="15"/>
      <c r="B6" s="15"/>
      <c r="C6" s="15"/>
      <c r="D6" s="15"/>
      <c r="E6" s="15"/>
    </row>
    <row r="7" spans="1:5" ht="30" customHeight="1">
      <c r="A7" s="634" t="s">
        <v>2</v>
      </c>
      <c r="B7" s="680" t="s">
        <v>844</v>
      </c>
      <c r="C7" s="649" t="s">
        <v>4</v>
      </c>
      <c r="D7" s="580" t="s">
        <v>136</v>
      </c>
      <c r="E7" s="556"/>
    </row>
    <row r="8" spans="1:5" ht="18" customHeight="1">
      <c r="A8" s="636"/>
      <c r="B8" s="652"/>
      <c r="C8" s="616"/>
      <c r="D8" s="61" t="s">
        <v>21</v>
      </c>
      <c r="E8" s="11" t="s">
        <v>27</v>
      </c>
    </row>
    <row r="9" spans="1:5" ht="15">
      <c r="A9" s="11">
        <v>1</v>
      </c>
      <c r="B9" s="11">
        <v>2</v>
      </c>
      <c r="C9" s="26">
        <v>4</v>
      </c>
      <c r="D9" s="11">
        <v>5</v>
      </c>
      <c r="E9" s="11">
        <v>6</v>
      </c>
    </row>
    <row r="10" spans="1:5" ht="15">
      <c r="A10" s="513">
        <f>6!A11</f>
        <v>1</v>
      </c>
      <c r="B10" s="30" t="str">
        <f>6!B11</f>
        <v>Kotawaringin Barat</v>
      </c>
      <c r="C10" s="31">
        <f>'15'!F11</f>
        <v>5183</v>
      </c>
      <c r="D10" s="31">
        <v>298</v>
      </c>
      <c r="E10" s="198">
        <f>D10/C10*100</f>
        <v>5.749565888481575</v>
      </c>
    </row>
    <row r="11" spans="1:5" ht="15">
      <c r="A11" s="513">
        <f>6!A12</f>
        <v>2</v>
      </c>
      <c r="B11" s="30" t="str">
        <f>6!B12</f>
        <v>Lamandau</v>
      </c>
      <c r="C11" s="31">
        <f>'15'!F12</f>
        <v>1482</v>
      </c>
      <c r="D11" s="31">
        <v>967</v>
      </c>
      <c r="E11" s="198">
        <f aca="true" t="shared" si="0" ref="E11:E25">D11/C11*100</f>
        <v>65.24966261808368</v>
      </c>
    </row>
    <row r="12" spans="1:5" ht="15">
      <c r="A12" s="513">
        <f>6!A13</f>
        <v>3</v>
      </c>
      <c r="B12" s="30" t="str">
        <f>6!B13</f>
        <v>Sukamara</v>
      </c>
      <c r="C12" s="31">
        <f>'15'!F13</f>
        <v>1049</v>
      </c>
      <c r="D12" s="31">
        <v>540</v>
      </c>
      <c r="E12" s="198">
        <f t="shared" si="0"/>
        <v>51.47759771210677</v>
      </c>
    </row>
    <row r="13" spans="1:5" ht="15">
      <c r="A13" s="513">
        <f>6!A14</f>
        <v>4</v>
      </c>
      <c r="B13" s="30" t="str">
        <f>6!B14</f>
        <v>Kotawaringin Timur</v>
      </c>
      <c r="C13" s="31">
        <f>'15'!F14</f>
        <v>7827</v>
      </c>
      <c r="D13" s="31">
        <v>3307</v>
      </c>
      <c r="E13" s="198">
        <f t="shared" si="0"/>
        <v>42.25118180656701</v>
      </c>
    </row>
    <row r="14" spans="1:5" ht="15">
      <c r="A14" s="513">
        <f>6!A15</f>
        <v>5</v>
      </c>
      <c r="B14" s="30" t="str">
        <f>6!B15</f>
        <v>Seruyan</v>
      </c>
      <c r="C14" s="31">
        <f>'15'!F15</f>
        <v>3705</v>
      </c>
      <c r="D14" s="31">
        <v>1043</v>
      </c>
      <c r="E14" s="198">
        <f t="shared" si="0"/>
        <v>28.151147098515523</v>
      </c>
    </row>
    <row r="15" spans="1:5" ht="15">
      <c r="A15" s="513">
        <f>6!A16</f>
        <v>6</v>
      </c>
      <c r="B15" s="30" t="str">
        <f>6!B16</f>
        <v>Katingan</v>
      </c>
      <c r="C15" s="31">
        <f>'15'!F16</f>
        <v>3433</v>
      </c>
      <c r="D15" s="31">
        <v>1378</v>
      </c>
      <c r="E15" s="198">
        <f t="shared" si="0"/>
        <v>40.13981939994174</v>
      </c>
    </row>
    <row r="16" spans="1:5" ht="15">
      <c r="A16" s="513">
        <f>6!A17</f>
        <v>7</v>
      </c>
      <c r="B16" s="30" t="str">
        <f>6!B17</f>
        <v>Kapuas</v>
      </c>
      <c r="C16" s="31">
        <f>'15'!F17</f>
        <v>8520</v>
      </c>
      <c r="D16" s="139">
        <v>0</v>
      </c>
      <c r="E16" s="141">
        <f t="shared" si="0"/>
        <v>0</v>
      </c>
    </row>
    <row r="17" spans="1:5" ht="15">
      <c r="A17" s="513">
        <f>6!A18</f>
        <v>8</v>
      </c>
      <c r="B17" s="30" t="str">
        <f>6!B18</f>
        <v>Pulang Pisau</v>
      </c>
      <c r="C17" s="31">
        <f>'15'!F18</f>
        <v>3008</v>
      </c>
      <c r="D17" s="31">
        <v>2593</v>
      </c>
      <c r="E17" s="198">
        <f t="shared" si="0"/>
        <v>86.2034574468085</v>
      </c>
    </row>
    <row r="18" spans="1:5" ht="15">
      <c r="A18" s="513">
        <f>6!A19</f>
        <v>9</v>
      </c>
      <c r="B18" s="30" t="str">
        <f>6!B19</f>
        <v>Gunung Mas</v>
      </c>
      <c r="C18" s="31">
        <f>'15'!F19</f>
        <v>2202</v>
      </c>
      <c r="D18" s="31">
        <v>786</v>
      </c>
      <c r="E18" s="198">
        <f t="shared" si="0"/>
        <v>35.694822888283376</v>
      </c>
    </row>
    <row r="19" spans="1:5" ht="15">
      <c r="A19" s="513">
        <f>6!A20</f>
        <v>10</v>
      </c>
      <c r="B19" s="30" t="str">
        <f>6!B20</f>
        <v>Barito Selatan</v>
      </c>
      <c r="C19" s="31">
        <f>'15'!F20</f>
        <v>2843</v>
      </c>
      <c r="D19" s="31">
        <v>689</v>
      </c>
      <c r="E19" s="198">
        <f t="shared" si="0"/>
        <v>24.234963067182555</v>
      </c>
    </row>
    <row r="20" spans="1:5" ht="15">
      <c r="A20" s="513">
        <f>6!A21</f>
        <v>11</v>
      </c>
      <c r="B20" s="30" t="str">
        <f>6!B21</f>
        <v>Barito Timur</v>
      </c>
      <c r="C20" s="31">
        <f>'15'!F21</f>
        <v>2363</v>
      </c>
      <c r="D20" s="31">
        <v>1742</v>
      </c>
      <c r="E20" s="198">
        <f t="shared" si="0"/>
        <v>73.71984765129073</v>
      </c>
    </row>
    <row r="21" spans="1:5" ht="15">
      <c r="A21" s="513">
        <f>6!A22</f>
        <v>12</v>
      </c>
      <c r="B21" s="138" t="str">
        <f>6!B22</f>
        <v>Barito Utara</v>
      </c>
      <c r="C21" s="139">
        <f>'15'!F22</f>
        <v>2516</v>
      </c>
      <c r="D21" s="139">
        <v>2610</v>
      </c>
      <c r="E21" s="198">
        <f t="shared" si="0"/>
        <v>103.73608903020668</v>
      </c>
    </row>
    <row r="22" spans="1:5" ht="15">
      <c r="A22" s="513">
        <f>6!A23</f>
        <v>13</v>
      </c>
      <c r="B22" s="30" t="str">
        <f>6!B23</f>
        <v>Murung Raya</v>
      </c>
      <c r="C22" s="31">
        <f>'15'!F23</f>
        <v>2384</v>
      </c>
      <c r="D22" s="31">
        <v>1274</v>
      </c>
      <c r="E22" s="198">
        <f t="shared" si="0"/>
        <v>53.43959731543624</v>
      </c>
    </row>
    <row r="23" spans="1:5" ht="15">
      <c r="A23" s="513">
        <f>6!A24</f>
        <v>14</v>
      </c>
      <c r="B23" s="30" t="str">
        <f>6!B24</f>
        <v>Palangka Raya</v>
      </c>
      <c r="C23" s="31">
        <f>'15'!F24</f>
        <v>5006</v>
      </c>
      <c r="D23" s="31">
        <v>642</v>
      </c>
      <c r="E23" s="198">
        <f t="shared" si="0"/>
        <v>12.824610467439074</v>
      </c>
    </row>
    <row r="24" spans="1:5" ht="15">
      <c r="A24" s="514"/>
      <c r="B24" s="35"/>
      <c r="C24" s="36"/>
      <c r="D24" s="36"/>
      <c r="E24" s="199"/>
    </row>
    <row r="25" spans="1:5" ht="19.5" customHeight="1" thickBot="1">
      <c r="A25" s="165" t="s">
        <v>859</v>
      </c>
      <c r="B25" s="121"/>
      <c r="C25" s="41">
        <f>SUM(C10:C24)</f>
        <v>51521</v>
      </c>
      <c r="D25" s="41">
        <f>SUM(D10:D24)</f>
        <v>17869</v>
      </c>
      <c r="E25" s="216">
        <f t="shared" si="0"/>
        <v>34.68294481861765</v>
      </c>
    </row>
    <row r="26" spans="1:5" ht="15">
      <c r="A26" s="18"/>
      <c r="B26" s="18"/>
      <c r="C26" s="18"/>
      <c r="D26" s="18"/>
      <c r="E26" s="18"/>
    </row>
    <row r="27" ht="15">
      <c r="A27" s="525" t="s">
        <v>243</v>
      </c>
    </row>
    <row r="28" ht="15">
      <c r="E28" s="511"/>
    </row>
  </sheetData>
  <mergeCells count="7">
    <mergeCell ref="A3:E3"/>
    <mergeCell ref="A4:E4"/>
    <mergeCell ref="A5:E5"/>
    <mergeCell ref="D7:E7"/>
    <mergeCell ref="C7:C8"/>
    <mergeCell ref="A7:A8"/>
    <mergeCell ref="B7:B8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r:id="rId1"/>
  <headerFooter alignWithMargins="0">
    <oddFooter>&amp;C89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E31"/>
  <sheetViews>
    <sheetView zoomScale="75" zoomScaleNormal="75" workbookViewId="0" topLeftCell="A1">
      <selection activeCell="C20" sqref="C20"/>
    </sheetView>
  </sheetViews>
  <sheetFormatPr defaultColWidth="9.140625" defaultRowHeight="12.75"/>
  <cols>
    <col min="1" max="1" width="4.7109375" style="14" customWidth="1"/>
    <col min="2" max="2" width="30.7109375" style="14" customWidth="1"/>
    <col min="3" max="3" width="25.7109375" style="14" customWidth="1"/>
    <col min="4" max="4" width="35.28125" style="14" customWidth="1"/>
    <col min="5" max="5" width="32.57421875" style="14" customWidth="1"/>
    <col min="6" max="16384" width="9.140625" style="14" customWidth="1"/>
  </cols>
  <sheetData>
    <row r="1" ht="15">
      <c r="A1" s="13" t="s">
        <v>451</v>
      </c>
    </row>
    <row r="3" spans="1:5" ht="15">
      <c r="A3" s="641" t="s">
        <v>870</v>
      </c>
      <c r="B3" s="641"/>
      <c r="C3" s="641"/>
      <c r="D3" s="641"/>
      <c r="E3" s="641"/>
    </row>
    <row r="4" spans="1:5" ht="15">
      <c r="A4" s="641" t="str">
        <f>1!A5</f>
        <v>PROVINSI KALIMANTAN TENGAH</v>
      </c>
      <c r="B4" s="641"/>
      <c r="C4" s="641"/>
      <c r="D4" s="641"/>
      <c r="E4" s="641"/>
    </row>
    <row r="5" spans="1:5" ht="15">
      <c r="A5" s="641" t="str">
        <f>1!A6</f>
        <v>TAHUN 2009</v>
      </c>
      <c r="B5" s="641"/>
      <c r="C5" s="641"/>
      <c r="D5" s="641"/>
      <c r="E5" s="641"/>
    </row>
    <row r="6" ht="15.75" thickBot="1">
      <c r="A6" s="106"/>
    </row>
    <row r="7" spans="1:5" ht="15">
      <c r="A7" s="637" t="s">
        <v>2</v>
      </c>
      <c r="B7" s="637" t="s">
        <v>844</v>
      </c>
      <c r="C7" s="558" t="s">
        <v>549</v>
      </c>
      <c r="D7" s="643" t="s">
        <v>371</v>
      </c>
      <c r="E7" s="643" t="s">
        <v>372</v>
      </c>
    </row>
    <row r="8" spans="1:5" ht="55.5" customHeight="1">
      <c r="A8" s="639"/>
      <c r="B8" s="639"/>
      <c r="C8" s="560"/>
      <c r="D8" s="645"/>
      <c r="E8" s="645"/>
    </row>
    <row r="9" spans="1:5" ht="15">
      <c r="A9" s="59">
        <v>1</v>
      </c>
      <c r="B9" s="59">
        <v>2</v>
      </c>
      <c r="C9" s="59">
        <v>4</v>
      </c>
      <c r="D9" s="59">
        <v>5</v>
      </c>
      <c r="E9" s="59">
        <v>6</v>
      </c>
    </row>
    <row r="10" spans="1:5" ht="15">
      <c r="A10" s="138">
        <f>1!A12</f>
        <v>1</v>
      </c>
      <c r="B10" s="138" t="str">
        <f>6!B11</f>
        <v>Kotawaringin Barat</v>
      </c>
      <c r="C10" s="63">
        <v>0</v>
      </c>
      <c r="D10" s="139">
        <v>0</v>
      </c>
      <c r="E10" s="141">
        <v>0</v>
      </c>
    </row>
    <row r="11" spans="1:5" ht="15">
      <c r="A11" s="138">
        <f>1!A13</f>
        <v>2</v>
      </c>
      <c r="B11" s="138" t="str">
        <f>6!B12</f>
        <v>Lamandau</v>
      </c>
      <c r="C11" s="63">
        <v>0</v>
      </c>
      <c r="D11" s="139">
        <f>0</f>
        <v>0</v>
      </c>
      <c r="E11" s="141">
        <v>0</v>
      </c>
    </row>
    <row r="12" spans="1:5" ht="15">
      <c r="A12" s="138">
        <f>1!A14</f>
        <v>3</v>
      </c>
      <c r="B12" s="138" t="str">
        <f>6!B13</f>
        <v>Sukamara</v>
      </c>
      <c r="C12" s="63">
        <f>'22'!C13</f>
        <v>32</v>
      </c>
      <c r="D12" s="139">
        <v>32</v>
      </c>
      <c r="E12" s="141">
        <f aca="true" t="shared" si="0" ref="E12:E25">D12/C12*100</f>
        <v>100</v>
      </c>
    </row>
    <row r="13" spans="1:5" ht="15">
      <c r="A13" s="138">
        <f>1!A15</f>
        <v>4</v>
      </c>
      <c r="B13" s="138" t="str">
        <f>6!B14</f>
        <v>Kotawaringin Timur</v>
      </c>
      <c r="C13" s="63">
        <v>128</v>
      </c>
      <c r="D13" s="139">
        <v>50</v>
      </c>
      <c r="E13" s="141">
        <f t="shared" si="0"/>
        <v>39.0625</v>
      </c>
    </row>
    <row r="14" spans="1:5" ht="15">
      <c r="A14" s="138">
        <f>1!A16</f>
        <v>5</v>
      </c>
      <c r="B14" s="138" t="str">
        <f>6!B15</f>
        <v>Seruyan</v>
      </c>
      <c r="C14" s="63">
        <f>'22'!C15</f>
        <v>101</v>
      </c>
      <c r="D14" s="139">
        <v>78</v>
      </c>
      <c r="E14" s="141">
        <f t="shared" si="0"/>
        <v>77.22772277227723</v>
      </c>
    </row>
    <row r="15" spans="1:5" ht="15">
      <c r="A15" s="138">
        <f>1!A17</f>
        <v>6</v>
      </c>
      <c r="B15" s="138" t="str">
        <f>6!B16</f>
        <v>Katingan</v>
      </c>
      <c r="C15" s="63">
        <v>0</v>
      </c>
      <c r="D15" s="139">
        <v>0</v>
      </c>
      <c r="E15" s="141">
        <v>0</v>
      </c>
    </row>
    <row r="16" spans="1:5" ht="15">
      <c r="A16" s="138">
        <f>1!A18</f>
        <v>7</v>
      </c>
      <c r="B16" s="138" t="str">
        <f>6!B17</f>
        <v>Kapuas</v>
      </c>
      <c r="C16" s="63">
        <v>0</v>
      </c>
      <c r="D16" s="139">
        <v>0</v>
      </c>
      <c r="E16" s="141">
        <v>0</v>
      </c>
    </row>
    <row r="17" spans="1:5" ht="15">
      <c r="A17" s="138">
        <f>1!A19</f>
        <v>8</v>
      </c>
      <c r="B17" s="138" t="str">
        <f>6!B18</f>
        <v>Pulang Pisau</v>
      </c>
      <c r="C17" s="63">
        <v>0</v>
      </c>
      <c r="D17" s="139">
        <v>0</v>
      </c>
      <c r="E17" s="141">
        <v>0</v>
      </c>
    </row>
    <row r="18" spans="1:5" ht="15">
      <c r="A18" s="138">
        <f>1!A20</f>
        <v>9</v>
      </c>
      <c r="B18" s="138" t="str">
        <f>6!B19</f>
        <v>Gunung Mas</v>
      </c>
      <c r="C18" s="63">
        <f>'22'!C19</f>
        <v>125</v>
      </c>
      <c r="D18" s="139">
        <v>0</v>
      </c>
      <c r="E18" s="141">
        <v>0</v>
      </c>
    </row>
    <row r="19" spans="1:5" ht="15">
      <c r="A19" s="138">
        <f>1!A21</f>
        <v>10</v>
      </c>
      <c r="B19" s="138" t="str">
        <f>6!B20</f>
        <v>Barito Selatan</v>
      </c>
      <c r="C19" s="63">
        <v>0</v>
      </c>
      <c r="D19" s="139">
        <v>0</v>
      </c>
      <c r="E19" s="141">
        <v>0</v>
      </c>
    </row>
    <row r="20" spans="1:5" ht="15">
      <c r="A20" s="138">
        <f>1!A22</f>
        <v>11</v>
      </c>
      <c r="B20" s="138" t="str">
        <f>6!B21</f>
        <v>Barito Timur</v>
      </c>
      <c r="C20" s="63">
        <f>'22'!C21</f>
        <v>105</v>
      </c>
      <c r="D20" s="139">
        <v>0</v>
      </c>
      <c r="E20" s="141">
        <f t="shared" si="0"/>
        <v>0</v>
      </c>
    </row>
    <row r="21" spans="1:5" ht="15">
      <c r="A21" s="138">
        <f>1!A23</f>
        <v>12</v>
      </c>
      <c r="B21" s="138" t="str">
        <f>6!B22</f>
        <v>Barito Utara</v>
      </c>
      <c r="C21" s="63">
        <f>'22'!C22</f>
        <v>103</v>
      </c>
      <c r="D21" s="139">
        <v>103</v>
      </c>
      <c r="E21" s="141">
        <f t="shared" si="0"/>
        <v>100</v>
      </c>
    </row>
    <row r="22" spans="1:5" ht="15">
      <c r="A22" s="138">
        <f>1!A24</f>
        <v>13</v>
      </c>
      <c r="B22" s="138" t="str">
        <f>6!B23</f>
        <v>Murung Raya</v>
      </c>
      <c r="C22" s="63">
        <f>'22'!C23</f>
        <v>124</v>
      </c>
      <c r="D22" s="139">
        <v>0</v>
      </c>
      <c r="E22" s="141">
        <f t="shared" si="0"/>
        <v>0</v>
      </c>
    </row>
    <row r="23" spans="1:5" ht="15">
      <c r="A23" s="138">
        <f>1!A25</f>
        <v>14</v>
      </c>
      <c r="B23" s="138" t="str">
        <f>6!B24</f>
        <v>Palangka Raya</v>
      </c>
      <c r="C23" s="63">
        <f>'22'!C24</f>
        <v>30</v>
      </c>
      <c r="D23" s="139">
        <v>0</v>
      </c>
      <c r="E23" s="141">
        <f t="shared" si="0"/>
        <v>0</v>
      </c>
    </row>
    <row r="24" spans="1:5" ht="15">
      <c r="A24" s="138"/>
      <c r="B24" s="138"/>
      <c r="C24" s="63"/>
      <c r="D24" s="139"/>
      <c r="E24" s="143"/>
    </row>
    <row r="25" spans="1:5" ht="19.5" customHeight="1" thickBot="1">
      <c r="A25" s="165" t="s">
        <v>859</v>
      </c>
      <c r="B25" s="175"/>
      <c r="C25" s="148">
        <f>SUM(C10:C24)</f>
        <v>748</v>
      </c>
      <c r="D25" s="167">
        <f>SUM(D10:D24)</f>
        <v>263</v>
      </c>
      <c r="E25" s="184">
        <f t="shared" si="0"/>
        <v>35.160427807486634</v>
      </c>
    </row>
    <row r="26" spans="1:5" ht="15">
      <c r="A26" s="73"/>
      <c r="B26" s="73"/>
      <c r="C26" s="73"/>
      <c r="D26" s="73"/>
      <c r="E26" s="73"/>
    </row>
    <row r="27" spans="1:4" ht="15">
      <c r="A27" s="525" t="s">
        <v>243</v>
      </c>
      <c r="B27" s="18"/>
      <c r="C27" s="18"/>
      <c r="D27" s="18"/>
    </row>
    <row r="28" spans="1:5" ht="15">
      <c r="A28" s="14" t="s">
        <v>1</v>
      </c>
      <c r="E28" s="511"/>
    </row>
    <row r="31" ht="15.75">
      <c r="B31" s="193"/>
    </row>
  </sheetData>
  <mergeCells count="8">
    <mergeCell ref="A3:E3"/>
    <mergeCell ref="A4:E4"/>
    <mergeCell ref="A5:E5"/>
    <mergeCell ref="D7:D8"/>
    <mergeCell ref="E7:E8"/>
    <mergeCell ref="A7:A8"/>
    <mergeCell ref="B7:B8"/>
    <mergeCell ref="C7:C8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91" r:id="rId1"/>
  <headerFooter alignWithMargins="0">
    <oddFooter>&amp;C90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L31"/>
  <sheetViews>
    <sheetView view="pageBreakPreview" zoomScale="60" zoomScaleNormal="75" workbookViewId="0" topLeftCell="A1">
      <selection activeCell="D6" sqref="D6"/>
    </sheetView>
  </sheetViews>
  <sheetFormatPr defaultColWidth="9.140625" defaultRowHeight="12.75"/>
  <cols>
    <col min="1" max="1" width="5.7109375" style="14" customWidth="1"/>
    <col min="2" max="2" width="30.8515625" style="14" customWidth="1"/>
    <col min="3" max="3" width="14.8515625" style="14" customWidth="1"/>
    <col min="4" max="4" width="15.7109375" style="14" customWidth="1"/>
    <col min="5" max="5" width="14.8515625" style="14" customWidth="1"/>
    <col min="6" max="6" width="15.140625" style="14" customWidth="1"/>
    <col min="7" max="9" width="12.7109375" style="14" customWidth="1"/>
    <col min="10" max="11" width="13.8515625" style="14" customWidth="1"/>
    <col min="12" max="12" width="13.421875" style="14" customWidth="1"/>
    <col min="13" max="16384" width="9.140625" style="14" customWidth="1"/>
  </cols>
  <sheetData>
    <row r="1" ht="15">
      <c r="A1" s="14" t="s">
        <v>452</v>
      </c>
    </row>
    <row r="3" spans="1:12" ht="15">
      <c r="A3" s="641" t="s">
        <v>137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</row>
    <row r="4" spans="1:12" ht="15">
      <c r="A4" s="641" t="s">
        <v>973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</row>
    <row r="5" spans="1:12" ht="15">
      <c r="A5" s="641" t="str">
        <f>1!A6</f>
        <v>TAHUN 2009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</row>
    <row r="6" ht="15.75" thickBot="1"/>
    <row r="7" spans="1:12" ht="18" customHeight="1">
      <c r="A7" s="663" t="s">
        <v>2</v>
      </c>
      <c r="B7" s="663" t="s">
        <v>844</v>
      </c>
      <c r="C7" s="44" t="s">
        <v>238</v>
      </c>
      <c r="D7" s="44"/>
      <c r="E7" s="44"/>
      <c r="F7" s="44"/>
      <c r="G7" s="218" t="s">
        <v>729</v>
      </c>
      <c r="H7" s="218"/>
      <c r="I7" s="218"/>
      <c r="J7" s="218"/>
      <c r="K7" s="44"/>
      <c r="L7" s="44"/>
    </row>
    <row r="8" spans="1:12" ht="19.5" customHeight="1">
      <c r="A8" s="664"/>
      <c r="B8" s="664"/>
      <c r="C8" s="661" t="s">
        <v>138</v>
      </c>
      <c r="D8" s="661" t="s">
        <v>139</v>
      </c>
      <c r="E8" s="661" t="s">
        <v>21</v>
      </c>
      <c r="F8" s="661" t="s">
        <v>140</v>
      </c>
      <c r="G8" s="661" t="s">
        <v>141</v>
      </c>
      <c r="H8" s="226" t="s">
        <v>439</v>
      </c>
      <c r="I8" s="226"/>
      <c r="J8" s="226" t="s">
        <v>440</v>
      </c>
      <c r="K8" s="202"/>
      <c r="L8" s="202"/>
    </row>
    <row r="9" spans="1:12" ht="48" customHeight="1">
      <c r="A9" s="664"/>
      <c r="B9" s="664"/>
      <c r="C9" s="662"/>
      <c r="D9" s="662"/>
      <c r="E9" s="662"/>
      <c r="F9" s="662"/>
      <c r="G9" s="662"/>
      <c r="H9" s="201" t="s">
        <v>21</v>
      </c>
      <c r="I9" s="201" t="s">
        <v>145</v>
      </c>
      <c r="J9" s="225" t="s">
        <v>142</v>
      </c>
      <c r="K9" s="225" t="s">
        <v>143</v>
      </c>
      <c r="L9" s="225" t="s">
        <v>144</v>
      </c>
    </row>
    <row r="10" spans="1:12" ht="15">
      <c r="A10" s="210">
        <v>1</v>
      </c>
      <c r="B10" s="11">
        <v>2</v>
      </c>
      <c r="C10" s="11">
        <v>4</v>
      </c>
      <c r="D10" s="210">
        <v>5</v>
      </c>
      <c r="E10" s="11">
        <v>6</v>
      </c>
      <c r="F10" s="210">
        <v>7</v>
      </c>
      <c r="G10" s="11">
        <v>8</v>
      </c>
      <c r="H10" s="210">
        <v>9</v>
      </c>
      <c r="I10" s="11">
        <v>10</v>
      </c>
      <c r="J10" s="210">
        <v>11</v>
      </c>
      <c r="K10" s="11">
        <v>12</v>
      </c>
      <c r="L10" s="210">
        <v>13</v>
      </c>
    </row>
    <row r="11" spans="1:12" ht="15">
      <c r="A11" s="142">
        <f>1!A12</f>
        <v>1</v>
      </c>
      <c r="B11" s="178" t="str">
        <f>6!B11</f>
        <v>Kotawaringin Barat</v>
      </c>
      <c r="C11" s="219">
        <v>502</v>
      </c>
      <c r="D11" s="219">
        <v>2878</v>
      </c>
      <c r="E11" s="219">
        <f>SUM(C11:D11)</f>
        <v>3380</v>
      </c>
      <c r="F11" s="220">
        <f>C11/D11</f>
        <v>0.1744266851980542</v>
      </c>
      <c r="G11" s="140">
        <v>26314</v>
      </c>
      <c r="H11" s="219">
        <v>6748</v>
      </c>
      <c r="I11" s="220">
        <f>H11/G11*100</f>
        <v>25.64414380177852</v>
      </c>
      <c r="J11" s="372">
        <v>3107</v>
      </c>
      <c r="K11" s="372">
        <v>2598</v>
      </c>
      <c r="L11" s="197">
        <f>K11/J11*100</f>
        <v>83.61763759253299</v>
      </c>
    </row>
    <row r="12" spans="1:12" ht="15">
      <c r="A12" s="138">
        <f>1!A13</f>
        <v>2</v>
      </c>
      <c r="B12" s="30" t="str">
        <f>6!B12</f>
        <v>Lamandau</v>
      </c>
      <c r="C12" s="186">
        <v>68</v>
      </c>
      <c r="D12" s="186">
        <v>405</v>
      </c>
      <c r="E12" s="31">
        <f>SUM(C12:D12)</f>
        <v>473</v>
      </c>
      <c r="F12" s="198">
        <f>C12/D12</f>
        <v>0.16790123456790124</v>
      </c>
      <c r="G12" s="31">
        <f>'18'!F12</f>
        <v>0</v>
      </c>
      <c r="H12" s="186">
        <v>88</v>
      </c>
      <c r="I12" s="198">
        <v>0</v>
      </c>
      <c r="J12" s="373">
        <v>247</v>
      </c>
      <c r="K12" s="373">
        <v>24</v>
      </c>
      <c r="L12" s="198">
        <f>K12/J12*100</f>
        <v>9.7165991902834</v>
      </c>
    </row>
    <row r="13" spans="1:12" ht="15">
      <c r="A13" s="138">
        <f>1!A14</f>
        <v>3</v>
      </c>
      <c r="B13" s="30" t="str">
        <f>6!B13</f>
        <v>Sukamara</v>
      </c>
      <c r="C13" s="186">
        <v>0</v>
      </c>
      <c r="D13" s="186">
        <v>0</v>
      </c>
      <c r="E13" s="31">
        <f>SUM(C13:D13)</f>
        <v>0</v>
      </c>
      <c r="F13" s="31">
        <f>SUM(D13:E13)</f>
        <v>0</v>
      </c>
      <c r="G13" s="31">
        <f>'18'!F13</f>
        <v>0</v>
      </c>
      <c r="H13" s="186">
        <v>99</v>
      </c>
      <c r="I13" s="198">
        <v>0</v>
      </c>
      <c r="J13" s="186">
        <v>46</v>
      </c>
      <c r="K13" s="186">
        <v>46</v>
      </c>
      <c r="L13" s="198">
        <f aca="true" t="shared" si="0" ref="L13:L26">K13/J13*100</f>
        <v>100</v>
      </c>
    </row>
    <row r="14" spans="1:12" ht="15">
      <c r="A14" s="138">
        <f>1!A15</f>
        <v>4</v>
      </c>
      <c r="B14" s="138" t="str">
        <f>6!B14</f>
        <v>Kotawaringin Timur</v>
      </c>
      <c r="C14" s="373" t="s">
        <v>694</v>
      </c>
      <c r="D14" s="373" t="s">
        <v>694</v>
      </c>
      <c r="E14" s="373" t="s">
        <v>694</v>
      </c>
      <c r="F14" s="373" t="s">
        <v>694</v>
      </c>
      <c r="G14" s="139">
        <f>'18'!F14</f>
        <v>10913</v>
      </c>
      <c r="H14" s="373" t="s">
        <v>694</v>
      </c>
      <c r="I14" s="373" t="s">
        <v>694</v>
      </c>
      <c r="J14" s="373" t="s">
        <v>694</v>
      </c>
      <c r="K14" s="373" t="s">
        <v>694</v>
      </c>
      <c r="L14" s="139" t="s">
        <v>694</v>
      </c>
    </row>
    <row r="15" spans="1:12" ht="15">
      <c r="A15" s="138">
        <f>1!A16</f>
        <v>5</v>
      </c>
      <c r="B15" s="30" t="str">
        <f>6!B15</f>
        <v>Seruyan</v>
      </c>
      <c r="C15" s="186">
        <v>55</v>
      </c>
      <c r="D15" s="186">
        <v>179</v>
      </c>
      <c r="E15" s="31">
        <f>SUM(C15:D15)</f>
        <v>234</v>
      </c>
      <c r="F15" s="198">
        <f aca="true" t="shared" si="1" ref="F15:F26">C15/D15</f>
        <v>0.30726256983240224</v>
      </c>
      <c r="G15" s="31">
        <f>'18'!F15</f>
        <v>17911</v>
      </c>
      <c r="H15" s="186">
        <v>308</v>
      </c>
      <c r="I15" s="198">
        <f aca="true" t="shared" si="2" ref="I15:I26">H15/G15*100</f>
        <v>1.7196136452459383</v>
      </c>
      <c r="J15" s="186">
        <v>241</v>
      </c>
      <c r="K15" s="186">
        <v>154</v>
      </c>
      <c r="L15" s="198">
        <f t="shared" si="0"/>
        <v>63.90041493775933</v>
      </c>
    </row>
    <row r="16" spans="1:12" ht="15">
      <c r="A16" s="138">
        <f>1!A17</f>
        <v>6</v>
      </c>
      <c r="B16" s="30" t="str">
        <f>6!B16</f>
        <v>Katingan</v>
      </c>
      <c r="C16" s="186">
        <v>1105</v>
      </c>
      <c r="D16" s="186">
        <v>1143</v>
      </c>
      <c r="E16" s="31">
        <f>SUM(C16:D16)</f>
        <v>2248</v>
      </c>
      <c r="F16" s="198">
        <f t="shared" si="1"/>
        <v>0.9667541557305337</v>
      </c>
      <c r="G16" s="31">
        <f>'18'!F16</f>
        <v>0</v>
      </c>
      <c r="H16" s="186">
        <v>2106</v>
      </c>
      <c r="I16" s="198">
        <v>0</v>
      </c>
      <c r="J16" s="186">
        <v>1322</v>
      </c>
      <c r="K16" s="186">
        <v>797</v>
      </c>
      <c r="L16" s="198">
        <f t="shared" si="0"/>
        <v>60.2874432677761</v>
      </c>
    </row>
    <row r="17" spans="1:12" ht="15">
      <c r="A17" s="138">
        <f>1!A18</f>
        <v>7</v>
      </c>
      <c r="B17" s="30" t="str">
        <f>6!B17</f>
        <v>Kapuas</v>
      </c>
      <c r="C17" s="186">
        <v>602</v>
      </c>
      <c r="D17" s="186">
        <v>1764</v>
      </c>
      <c r="E17" s="31">
        <f>SUM(C17:D17)</f>
        <v>2366</v>
      </c>
      <c r="F17" s="198">
        <f t="shared" si="1"/>
        <v>0.3412698412698413</v>
      </c>
      <c r="G17" s="139">
        <v>12178</v>
      </c>
      <c r="H17" s="186">
        <v>9409</v>
      </c>
      <c r="I17" s="198">
        <f t="shared" si="2"/>
        <v>77.26227623583512</v>
      </c>
      <c r="J17" s="186">
        <v>3301</v>
      </c>
      <c r="K17" s="186">
        <v>1898</v>
      </c>
      <c r="L17" s="198">
        <f t="shared" si="0"/>
        <v>57.49772796122387</v>
      </c>
    </row>
    <row r="18" spans="1:12" ht="15">
      <c r="A18" s="138">
        <f>1!A19</f>
        <v>8</v>
      </c>
      <c r="B18" s="30" t="str">
        <f>6!B18</f>
        <v>Pulang Pisau</v>
      </c>
      <c r="C18" s="186">
        <v>204</v>
      </c>
      <c r="D18" s="186">
        <v>369</v>
      </c>
      <c r="E18" s="31">
        <f>SUM(C18:D18)</f>
        <v>573</v>
      </c>
      <c r="F18" s="198">
        <f t="shared" si="1"/>
        <v>0.5528455284552846</v>
      </c>
      <c r="G18" s="31">
        <f>'18'!F18</f>
        <v>15465</v>
      </c>
      <c r="H18" s="186">
        <v>0</v>
      </c>
      <c r="I18" s="198">
        <f t="shared" si="2"/>
        <v>0</v>
      </c>
      <c r="J18" s="373" t="s">
        <v>694</v>
      </c>
      <c r="K18" s="373" t="s">
        <v>694</v>
      </c>
      <c r="L18" s="139" t="s">
        <v>694</v>
      </c>
    </row>
    <row r="19" spans="1:12" ht="15">
      <c r="A19" s="138">
        <f>1!A20</f>
        <v>9</v>
      </c>
      <c r="B19" s="30" t="str">
        <f>6!B19</f>
        <v>Gunung Mas</v>
      </c>
      <c r="C19" s="186">
        <v>19</v>
      </c>
      <c r="D19" s="186">
        <v>290</v>
      </c>
      <c r="E19" s="31">
        <f>SUM(C19:D19)</f>
        <v>309</v>
      </c>
      <c r="F19" s="198">
        <f t="shared" si="1"/>
        <v>0.06551724137931035</v>
      </c>
      <c r="G19" s="139">
        <f>'18'!F19</f>
        <v>15489</v>
      </c>
      <c r="H19" s="186">
        <v>73</v>
      </c>
      <c r="I19" s="198">
        <f t="shared" si="2"/>
        <v>0.47130221447478854</v>
      </c>
      <c r="J19" s="186">
        <v>0</v>
      </c>
      <c r="K19" s="186">
        <v>0</v>
      </c>
      <c r="L19" s="198">
        <v>0</v>
      </c>
    </row>
    <row r="20" spans="1:12" ht="15">
      <c r="A20" s="138">
        <f>1!A21</f>
        <v>10</v>
      </c>
      <c r="B20" s="30" t="str">
        <f>6!B20</f>
        <v>Barito Selatan</v>
      </c>
      <c r="C20" s="186">
        <v>56</v>
      </c>
      <c r="D20" s="186">
        <v>583</v>
      </c>
      <c r="E20" s="31">
        <v>639</v>
      </c>
      <c r="F20" s="198">
        <f t="shared" si="1"/>
        <v>0.09605488850771869</v>
      </c>
      <c r="G20" s="139">
        <f>'18'!F20</f>
        <v>18534</v>
      </c>
      <c r="H20" s="186">
        <v>212</v>
      </c>
      <c r="I20" s="198">
        <f t="shared" si="2"/>
        <v>1.143843746627819</v>
      </c>
      <c r="J20" s="186">
        <v>1401</v>
      </c>
      <c r="K20" s="186">
        <v>1397</v>
      </c>
      <c r="L20" s="198">
        <f t="shared" si="0"/>
        <v>99.71448965024983</v>
      </c>
    </row>
    <row r="21" spans="1:12" ht="15">
      <c r="A21" s="138">
        <f>1!A22</f>
        <v>11</v>
      </c>
      <c r="B21" s="30" t="str">
        <f>6!B21</f>
        <v>Barito Timur</v>
      </c>
      <c r="C21" s="186">
        <v>890</v>
      </c>
      <c r="D21" s="186">
        <v>759</v>
      </c>
      <c r="E21" s="31">
        <f>SUM(C21:D21)</f>
        <v>1649</v>
      </c>
      <c r="F21" s="198">
        <f t="shared" si="1"/>
        <v>1.1725955204216074</v>
      </c>
      <c r="G21" s="31">
        <f>'18'!F21</f>
        <v>0</v>
      </c>
      <c r="H21" s="186">
        <v>2412</v>
      </c>
      <c r="I21" s="198">
        <v>0</v>
      </c>
      <c r="J21" s="186">
        <v>2657</v>
      </c>
      <c r="K21" s="186">
        <v>1995</v>
      </c>
      <c r="L21" s="198">
        <f t="shared" si="0"/>
        <v>75.08468197214904</v>
      </c>
    </row>
    <row r="22" spans="1:12" ht="15">
      <c r="A22" s="138">
        <f>1!A23</f>
        <v>12</v>
      </c>
      <c r="B22" s="30" t="str">
        <f>6!B22</f>
        <v>Barito Utara</v>
      </c>
      <c r="C22" s="186">
        <v>243</v>
      </c>
      <c r="D22" s="186">
        <v>862</v>
      </c>
      <c r="E22" s="31">
        <f>SUM(C22:D22)</f>
        <v>1105</v>
      </c>
      <c r="F22" s="198">
        <f t="shared" si="1"/>
        <v>0.2819025522041763</v>
      </c>
      <c r="G22" s="31">
        <f>'18'!F22</f>
        <v>16340</v>
      </c>
      <c r="H22" s="186">
        <v>1835</v>
      </c>
      <c r="I22" s="198">
        <f>H22/G22*100</f>
        <v>11.230110159118727</v>
      </c>
      <c r="J22" s="186">
        <v>1357</v>
      </c>
      <c r="K22" s="186">
        <v>1266</v>
      </c>
      <c r="L22" s="198">
        <f t="shared" si="0"/>
        <v>93.29403095062638</v>
      </c>
    </row>
    <row r="23" spans="1:12" ht="15">
      <c r="A23" s="138">
        <f>1!A24</f>
        <v>13</v>
      </c>
      <c r="B23" s="30" t="str">
        <f>6!B23</f>
        <v>Murung Raya</v>
      </c>
      <c r="C23" s="186">
        <v>937</v>
      </c>
      <c r="D23" s="186">
        <v>308</v>
      </c>
      <c r="E23" s="31">
        <f>SUM(C23:D23)</f>
        <v>1245</v>
      </c>
      <c r="F23" s="198">
        <f t="shared" si="1"/>
        <v>3.042207792207792</v>
      </c>
      <c r="G23" s="31">
        <f>'18'!F23</f>
        <v>17180</v>
      </c>
      <c r="H23" s="186">
        <v>590</v>
      </c>
      <c r="I23" s="198">
        <f t="shared" si="2"/>
        <v>3.434225844004657</v>
      </c>
      <c r="J23" s="186">
        <v>288</v>
      </c>
      <c r="K23" s="186">
        <v>272</v>
      </c>
      <c r="L23" s="198">
        <f t="shared" si="0"/>
        <v>94.44444444444444</v>
      </c>
    </row>
    <row r="24" spans="1:12" ht="15">
      <c r="A24" s="138">
        <f>1!A25</f>
        <v>14</v>
      </c>
      <c r="B24" s="30" t="str">
        <f>6!B24</f>
        <v>Palangka Raya</v>
      </c>
      <c r="C24" s="186">
        <v>906</v>
      </c>
      <c r="D24" s="186">
        <v>1893</v>
      </c>
      <c r="E24" s="31">
        <f>SUM(C24:D24)</f>
        <v>2799</v>
      </c>
      <c r="F24" s="198">
        <f t="shared" si="1"/>
        <v>0.4786053882725832</v>
      </c>
      <c r="G24" s="31">
        <f>'18'!F24</f>
        <v>4890</v>
      </c>
      <c r="H24" s="186">
        <v>4339</v>
      </c>
      <c r="I24" s="198">
        <f t="shared" si="2"/>
        <v>88.7321063394683</v>
      </c>
      <c r="J24" s="186">
        <v>3013</v>
      </c>
      <c r="K24" s="186">
        <v>2065</v>
      </c>
      <c r="L24" s="198">
        <f t="shared" si="0"/>
        <v>68.53634251576501</v>
      </c>
    </row>
    <row r="25" spans="1:12" ht="15">
      <c r="A25" s="35"/>
      <c r="B25" s="35"/>
      <c r="C25" s="189"/>
      <c r="D25" s="189"/>
      <c r="E25" s="36"/>
      <c r="F25" s="221"/>
      <c r="G25" s="31"/>
      <c r="H25" s="189"/>
      <c r="I25" s="221"/>
      <c r="J25" s="189"/>
      <c r="K25" s="189"/>
      <c r="L25" s="198"/>
    </row>
    <row r="26" spans="1:12" ht="19.5" customHeight="1" thickBot="1">
      <c r="A26" s="165" t="s">
        <v>859</v>
      </c>
      <c r="B26" s="222"/>
      <c r="C26" s="223">
        <f>SUM(C11:C25)</f>
        <v>5587</v>
      </c>
      <c r="D26" s="223">
        <f>SUM(D11:D25)</f>
        <v>11433</v>
      </c>
      <c r="E26" s="212">
        <f>SUM(C26:D26)</f>
        <v>17020</v>
      </c>
      <c r="F26" s="200">
        <f t="shared" si="1"/>
        <v>0.4886731391585761</v>
      </c>
      <c r="G26" s="41">
        <f>SUM(G11:G25)</f>
        <v>155214</v>
      </c>
      <c r="H26" s="212">
        <f>SUM(H11:H25)</f>
        <v>28219</v>
      </c>
      <c r="I26" s="200">
        <f t="shared" si="2"/>
        <v>18.180705348744315</v>
      </c>
      <c r="J26" s="212">
        <f>SUM(J11:J25)</f>
        <v>16980</v>
      </c>
      <c r="K26" s="212">
        <f>SUM(K11:K25)</f>
        <v>12512</v>
      </c>
      <c r="L26" s="200">
        <f t="shared" si="0"/>
        <v>73.6866902237927</v>
      </c>
    </row>
    <row r="27" spans="1:12" ht="15">
      <c r="A27" s="18"/>
      <c r="B27" s="9"/>
      <c r="C27" s="9"/>
      <c r="D27" s="9"/>
      <c r="E27" s="9"/>
      <c r="F27" s="18"/>
      <c r="G27" s="224"/>
      <c r="H27" s="18"/>
      <c r="I27" s="18"/>
      <c r="J27" s="224"/>
      <c r="K27" s="224"/>
      <c r="L27" s="18"/>
    </row>
    <row r="28" ht="15">
      <c r="A28" s="525" t="s">
        <v>243</v>
      </c>
    </row>
    <row r="29" spans="1:12" ht="15">
      <c r="A29" s="14" t="s">
        <v>694</v>
      </c>
      <c r="B29" s="390" t="s">
        <v>965</v>
      </c>
      <c r="L29" s="511"/>
    </row>
    <row r="30" ht="15">
      <c r="C30" s="641"/>
    </row>
    <row r="31" ht="15">
      <c r="C31" s="641"/>
    </row>
  </sheetData>
  <mergeCells count="11">
    <mergeCell ref="E8:E9"/>
    <mergeCell ref="F8:F9"/>
    <mergeCell ref="A3:L3"/>
    <mergeCell ref="G8:G9"/>
    <mergeCell ref="D8:D9"/>
    <mergeCell ref="A4:L4"/>
    <mergeCell ref="A5:L5"/>
    <mergeCell ref="C30:C31"/>
    <mergeCell ref="A7:A9"/>
    <mergeCell ref="B7:B9"/>
    <mergeCell ref="C8:C9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67" r:id="rId1"/>
  <headerFooter alignWithMargins="0">
    <oddFooter>&amp;C91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57"/>
  <dimension ref="A1:E65"/>
  <sheetViews>
    <sheetView tabSelected="1" zoomScale="75" zoomScaleNormal="75" workbookViewId="0" topLeftCell="A43">
      <selection activeCell="J55" sqref="J55"/>
    </sheetView>
  </sheetViews>
  <sheetFormatPr defaultColWidth="9.140625" defaultRowHeight="12.75"/>
  <cols>
    <col min="1" max="1" width="5.7109375" style="14" customWidth="1"/>
    <col min="2" max="2" width="38.140625" style="14" customWidth="1"/>
    <col min="3" max="5" width="18.7109375" style="14" customWidth="1"/>
    <col min="6" max="16384" width="9.140625" style="14" customWidth="1"/>
  </cols>
  <sheetData>
    <row r="1" ht="15">
      <c r="A1" s="13" t="s">
        <v>564</v>
      </c>
    </row>
    <row r="3" spans="1:5" ht="15">
      <c r="A3" s="641" t="s">
        <v>732</v>
      </c>
      <c r="B3" s="641"/>
      <c r="C3" s="641"/>
      <c r="D3" s="641"/>
      <c r="E3" s="641"/>
    </row>
    <row r="4" spans="1:5" ht="15">
      <c r="A4" s="641" t="str">
        <f>1!A5</f>
        <v>PROVINSI KALIMANTAN TENGAH</v>
      </c>
      <c r="B4" s="641"/>
      <c r="C4" s="641"/>
      <c r="D4" s="641"/>
      <c r="E4" s="641"/>
    </row>
    <row r="5" spans="1:5" ht="15">
      <c r="A5" s="641" t="str">
        <f>1!A6</f>
        <v>TAHUN 2009</v>
      </c>
      <c r="B5" s="641"/>
      <c r="C5" s="641"/>
      <c r="D5" s="641"/>
      <c r="E5" s="641"/>
    </row>
    <row r="6" ht="15.75" thickBot="1"/>
    <row r="7" spans="1:5" ht="19.5" customHeight="1">
      <c r="A7" s="637" t="s">
        <v>2</v>
      </c>
      <c r="B7" s="637" t="s">
        <v>885</v>
      </c>
      <c r="C7" s="93" t="s">
        <v>426</v>
      </c>
      <c r="D7" s="96"/>
      <c r="E7" s="96"/>
    </row>
    <row r="8" spans="1:5" ht="56.25" customHeight="1">
      <c r="A8" s="639"/>
      <c r="B8" s="639"/>
      <c r="C8" s="161" t="s">
        <v>730</v>
      </c>
      <c r="D8" s="161" t="s">
        <v>731</v>
      </c>
      <c r="E8" s="136" t="s">
        <v>21</v>
      </c>
    </row>
    <row r="9" spans="1:5" ht="15">
      <c r="A9" s="59">
        <v>1</v>
      </c>
      <c r="B9" s="59">
        <v>2</v>
      </c>
      <c r="C9" s="59">
        <v>4</v>
      </c>
      <c r="D9" s="59">
        <v>5</v>
      </c>
      <c r="E9" s="59">
        <v>6</v>
      </c>
    </row>
    <row r="10" spans="1:5" ht="15">
      <c r="A10" s="23" t="s">
        <v>279</v>
      </c>
      <c r="B10" s="138" t="s">
        <v>872</v>
      </c>
      <c r="C10" s="23"/>
      <c r="D10" s="23"/>
      <c r="E10" s="23"/>
    </row>
    <row r="11" spans="1:5" ht="15">
      <c r="A11" s="138">
        <f>1!A12</f>
        <v>1</v>
      </c>
      <c r="B11" s="138" t="str">
        <f>6!B11</f>
        <v>Kotawaringin Barat</v>
      </c>
      <c r="C11" s="139">
        <v>2076</v>
      </c>
      <c r="D11" s="139">
        <v>28</v>
      </c>
      <c r="E11" s="397">
        <f>C11+D11</f>
        <v>2104</v>
      </c>
    </row>
    <row r="12" spans="1:5" ht="15">
      <c r="A12" s="138">
        <f>1!A13</f>
        <v>2</v>
      </c>
      <c r="B12" s="138" t="str">
        <f>6!B12</f>
        <v>Lamandau</v>
      </c>
      <c r="C12" s="139">
        <v>335</v>
      </c>
      <c r="D12" s="139">
        <v>2</v>
      </c>
      <c r="E12" s="397">
        <f aca="true" t="shared" si="0" ref="E12:E25">C12+D12</f>
        <v>337</v>
      </c>
    </row>
    <row r="13" spans="1:5" ht="15">
      <c r="A13" s="138">
        <f>1!A14</f>
        <v>3</v>
      </c>
      <c r="B13" s="138" t="str">
        <f>6!B13</f>
        <v>Sukamara</v>
      </c>
      <c r="C13" s="139">
        <v>108</v>
      </c>
      <c r="D13" s="139">
        <v>156</v>
      </c>
      <c r="E13" s="397">
        <f t="shared" si="0"/>
        <v>264</v>
      </c>
    </row>
    <row r="14" spans="1:5" ht="15">
      <c r="A14" s="138">
        <f>1!A15</f>
        <v>4</v>
      </c>
      <c r="B14" s="138" t="str">
        <f>6!B14</f>
        <v>Kotawaringin Timur</v>
      </c>
      <c r="C14" s="139">
        <v>83834</v>
      </c>
      <c r="D14" s="139">
        <v>14984</v>
      </c>
      <c r="E14" s="397">
        <f t="shared" si="0"/>
        <v>98818</v>
      </c>
    </row>
    <row r="15" spans="1:5" ht="15">
      <c r="A15" s="138">
        <f>1!A16</f>
        <v>5</v>
      </c>
      <c r="B15" s="138" t="str">
        <f>6!B15</f>
        <v>Seruyan</v>
      </c>
      <c r="C15" s="139">
        <v>0</v>
      </c>
      <c r="D15" s="139">
        <v>0</v>
      </c>
      <c r="E15" s="397">
        <f t="shared" si="0"/>
        <v>0</v>
      </c>
    </row>
    <row r="16" spans="1:5" ht="15">
      <c r="A16" s="138">
        <f>1!A17</f>
        <v>6</v>
      </c>
      <c r="B16" s="138" t="str">
        <f>6!B16</f>
        <v>Katingan</v>
      </c>
      <c r="C16" s="139">
        <v>0</v>
      </c>
      <c r="D16" s="139">
        <v>0</v>
      </c>
      <c r="E16" s="397">
        <f t="shared" si="0"/>
        <v>0</v>
      </c>
    </row>
    <row r="17" spans="1:5" ht="15">
      <c r="A17" s="138">
        <f>1!A18</f>
        <v>7</v>
      </c>
      <c r="B17" s="138" t="str">
        <f>6!B17</f>
        <v>Kapuas</v>
      </c>
      <c r="C17" s="139">
        <v>79</v>
      </c>
      <c r="D17" s="139">
        <v>61</v>
      </c>
      <c r="E17" s="397">
        <f t="shared" si="0"/>
        <v>140</v>
      </c>
    </row>
    <row r="18" spans="1:5" ht="15">
      <c r="A18" s="138">
        <f>1!A19</f>
        <v>8</v>
      </c>
      <c r="B18" s="138" t="str">
        <f>6!B18</f>
        <v>Pulang Pisau</v>
      </c>
      <c r="C18" s="139">
        <v>1986</v>
      </c>
      <c r="D18" s="139">
        <v>0</v>
      </c>
      <c r="E18" s="397">
        <f t="shared" si="0"/>
        <v>1986</v>
      </c>
    </row>
    <row r="19" spans="1:5" ht="15">
      <c r="A19" s="138">
        <f>1!A20</f>
        <v>9</v>
      </c>
      <c r="B19" s="138" t="str">
        <f>6!B19</f>
        <v>Gunung Mas</v>
      </c>
      <c r="C19" s="139">
        <v>135</v>
      </c>
      <c r="D19" s="139">
        <v>21</v>
      </c>
      <c r="E19" s="397">
        <f t="shared" si="0"/>
        <v>156</v>
      </c>
    </row>
    <row r="20" spans="1:5" ht="15">
      <c r="A20" s="138">
        <f>1!A21</f>
        <v>10</v>
      </c>
      <c r="B20" s="138" t="str">
        <f>6!B20</f>
        <v>Barito Selatan</v>
      </c>
      <c r="C20" s="139">
        <v>1528</v>
      </c>
      <c r="D20" s="139">
        <v>120</v>
      </c>
      <c r="E20" s="397">
        <f t="shared" si="0"/>
        <v>1648</v>
      </c>
    </row>
    <row r="21" spans="1:5" ht="15">
      <c r="A21" s="138">
        <f>1!A22</f>
        <v>11</v>
      </c>
      <c r="B21" s="138" t="str">
        <f>6!B21</f>
        <v>Barito Timur</v>
      </c>
      <c r="C21" s="139">
        <v>0</v>
      </c>
      <c r="D21" s="139">
        <v>0</v>
      </c>
      <c r="E21" s="397">
        <f t="shared" si="0"/>
        <v>0</v>
      </c>
    </row>
    <row r="22" spans="1:5" ht="15">
      <c r="A22" s="138">
        <f>1!A23</f>
        <v>12</v>
      </c>
      <c r="B22" s="138" t="str">
        <f>6!B22</f>
        <v>Barito Utara</v>
      </c>
      <c r="C22" s="139">
        <v>40</v>
      </c>
      <c r="D22" s="139">
        <v>27</v>
      </c>
      <c r="E22" s="397">
        <f t="shared" si="0"/>
        <v>67</v>
      </c>
    </row>
    <row r="23" spans="1:5" ht="15">
      <c r="A23" s="138">
        <f>1!A24</f>
        <v>13</v>
      </c>
      <c r="B23" s="138" t="str">
        <f>6!B23</f>
        <v>Murung Raya</v>
      </c>
      <c r="C23" s="139">
        <v>2423</v>
      </c>
      <c r="D23" s="139">
        <v>43491</v>
      </c>
      <c r="E23" s="397">
        <f t="shared" si="0"/>
        <v>45914</v>
      </c>
    </row>
    <row r="24" spans="1:5" ht="15">
      <c r="A24" s="138">
        <f>1!A25</f>
        <v>14</v>
      </c>
      <c r="B24" s="138" t="str">
        <f>6!B24</f>
        <v>Palangka Raya</v>
      </c>
      <c r="C24" s="139">
        <v>31</v>
      </c>
      <c r="D24" s="139">
        <v>33</v>
      </c>
      <c r="E24" s="397">
        <f t="shared" si="0"/>
        <v>64</v>
      </c>
    </row>
    <row r="25" spans="1:5" ht="15">
      <c r="A25" s="138"/>
      <c r="B25" s="73"/>
      <c r="C25" s="139"/>
      <c r="D25" s="139"/>
      <c r="E25" s="397">
        <f t="shared" si="0"/>
        <v>0</v>
      </c>
    </row>
    <row r="26" spans="1:5" ht="19.5" customHeight="1">
      <c r="A26" s="228" t="s">
        <v>345</v>
      </c>
      <c r="B26" s="145"/>
      <c r="C26" s="147">
        <f>SUM(C11:C24)</f>
        <v>92575</v>
      </c>
      <c r="D26" s="147">
        <f>SUM(D11:D24)</f>
        <v>58923</v>
      </c>
      <c r="E26" s="396">
        <f>SUM(C26:D26)</f>
        <v>151498</v>
      </c>
    </row>
    <row r="27" spans="1:5" ht="15">
      <c r="A27" s="23" t="s">
        <v>871</v>
      </c>
      <c r="B27" s="73" t="s">
        <v>427</v>
      </c>
      <c r="C27" s="138"/>
      <c r="D27" s="138"/>
      <c r="E27" s="397">
        <f>C27+D27</f>
        <v>0</v>
      </c>
    </row>
    <row r="28" spans="1:5" ht="15">
      <c r="A28" s="138">
        <f aca="true" t="shared" si="1" ref="A28:B41">A11</f>
        <v>1</v>
      </c>
      <c r="B28" s="138" t="str">
        <f t="shared" si="1"/>
        <v>Kotawaringin Barat</v>
      </c>
      <c r="C28" s="138">
        <v>24</v>
      </c>
      <c r="D28" s="138">
        <v>4</v>
      </c>
      <c r="E28" s="397">
        <f aca="true" t="shared" si="2" ref="E28:E41">C28+D28</f>
        <v>28</v>
      </c>
    </row>
    <row r="29" spans="1:5" ht="15">
      <c r="A29" s="138">
        <f t="shared" si="1"/>
        <v>2</v>
      </c>
      <c r="B29" s="138" t="str">
        <f t="shared" si="1"/>
        <v>Lamandau</v>
      </c>
      <c r="C29" s="138">
        <v>6</v>
      </c>
      <c r="D29" s="138">
        <v>3</v>
      </c>
      <c r="E29" s="397">
        <f t="shared" si="2"/>
        <v>9</v>
      </c>
    </row>
    <row r="30" spans="1:5" ht="15">
      <c r="A30" s="138">
        <f t="shared" si="1"/>
        <v>3</v>
      </c>
      <c r="B30" s="138" t="str">
        <f t="shared" si="1"/>
        <v>Sukamara</v>
      </c>
      <c r="C30" s="138">
        <v>0</v>
      </c>
      <c r="D30" s="138">
        <v>0</v>
      </c>
      <c r="E30" s="397">
        <f t="shared" si="2"/>
        <v>0</v>
      </c>
    </row>
    <row r="31" spans="1:5" ht="15">
      <c r="A31" s="138">
        <f t="shared" si="1"/>
        <v>4</v>
      </c>
      <c r="B31" s="138" t="str">
        <f t="shared" si="1"/>
        <v>Kotawaringin Timur</v>
      </c>
      <c r="C31" s="138">
        <v>0</v>
      </c>
      <c r="D31" s="138">
        <v>0</v>
      </c>
      <c r="E31" s="397">
        <f t="shared" si="2"/>
        <v>0</v>
      </c>
    </row>
    <row r="32" spans="1:5" ht="15">
      <c r="A32" s="138">
        <f t="shared" si="1"/>
        <v>5</v>
      </c>
      <c r="B32" s="138" t="str">
        <f t="shared" si="1"/>
        <v>Seruyan</v>
      </c>
      <c r="C32" s="138">
        <v>0</v>
      </c>
      <c r="D32" s="138">
        <v>0</v>
      </c>
      <c r="E32" s="397">
        <f t="shared" si="2"/>
        <v>0</v>
      </c>
    </row>
    <row r="33" spans="1:5" ht="15">
      <c r="A33" s="138">
        <f t="shared" si="1"/>
        <v>6</v>
      </c>
      <c r="B33" s="138" t="str">
        <f t="shared" si="1"/>
        <v>Katingan</v>
      </c>
      <c r="C33" s="138">
        <v>0</v>
      </c>
      <c r="D33" s="138">
        <v>0</v>
      </c>
      <c r="E33" s="397">
        <f t="shared" si="2"/>
        <v>0</v>
      </c>
    </row>
    <row r="34" spans="1:5" ht="15">
      <c r="A34" s="138">
        <f t="shared" si="1"/>
        <v>7</v>
      </c>
      <c r="B34" s="138" t="str">
        <f t="shared" si="1"/>
        <v>Kapuas</v>
      </c>
      <c r="C34" s="138">
        <v>4</v>
      </c>
      <c r="D34" s="138">
        <v>0</v>
      </c>
      <c r="E34" s="397">
        <f t="shared" si="2"/>
        <v>4</v>
      </c>
    </row>
    <row r="35" spans="1:5" ht="15">
      <c r="A35" s="138">
        <f t="shared" si="1"/>
        <v>8</v>
      </c>
      <c r="B35" s="138" t="str">
        <f t="shared" si="1"/>
        <v>Pulang Pisau</v>
      </c>
      <c r="C35" s="138">
        <v>2</v>
      </c>
      <c r="D35" s="138">
        <v>2</v>
      </c>
      <c r="E35" s="397">
        <f t="shared" si="2"/>
        <v>4</v>
      </c>
    </row>
    <row r="36" spans="1:5" ht="15">
      <c r="A36" s="138">
        <f t="shared" si="1"/>
        <v>9</v>
      </c>
      <c r="B36" s="138" t="str">
        <f t="shared" si="1"/>
        <v>Gunung Mas</v>
      </c>
      <c r="C36" s="138">
        <v>0</v>
      </c>
      <c r="D36" s="138">
        <v>0</v>
      </c>
      <c r="E36" s="397">
        <f t="shared" si="2"/>
        <v>0</v>
      </c>
    </row>
    <row r="37" spans="1:5" ht="15">
      <c r="A37" s="138">
        <f t="shared" si="1"/>
        <v>10</v>
      </c>
      <c r="B37" s="138" t="str">
        <f t="shared" si="1"/>
        <v>Barito Selatan</v>
      </c>
      <c r="C37" s="138">
        <v>0</v>
      </c>
      <c r="D37" s="138">
        <v>0</v>
      </c>
      <c r="E37" s="397">
        <f t="shared" si="2"/>
        <v>0</v>
      </c>
    </row>
    <row r="38" spans="1:5" ht="15">
      <c r="A38" s="138">
        <f t="shared" si="1"/>
        <v>11</v>
      </c>
      <c r="B38" s="138" t="str">
        <f t="shared" si="1"/>
        <v>Barito Timur</v>
      </c>
      <c r="C38" s="138">
        <v>0</v>
      </c>
      <c r="D38" s="138">
        <v>0</v>
      </c>
      <c r="E38" s="397">
        <f t="shared" si="2"/>
        <v>0</v>
      </c>
    </row>
    <row r="39" spans="1:5" ht="15">
      <c r="A39" s="138">
        <f t="shared" si="1"/>
        <v>12</v>
      </c>
      <c r="B39" s="138" t="str">
        <f t="shared" si="1"/>
        <v>Barito Utara</v>
      </c>
      <c r="C39" s="138">
        <v>2</v>
      </c>
      <c r="D39" s="138">
        <v>0</v>
      </c>
      <c r="E39" s="397">
        <f t="shared" si="2"/>
        <v>2</v>
      </c>
    </row>
    <row r="40" spans="1:5" ht="15">
      <c r="A40" s="138">
        <f t="shared" si="1"/>
        <v>13</v>
      </c>
      <c r="B40" s="138" t="str">
        <f t="shared" si="1"/>
        <v>Murung Raya</v>
      </c>
      <c r="C40" s="138">
        <v>0</v>
      </c>
      <c r="D40" s="138">
        <v>0</v>
      </c>
      <c r="E40" s="397">
        <f t="shared" si="2"/>
        <v>0</v>
      </c>
    </row>
    <row r="41" spans="1:5" ht="15">
      <c r="A41" s="138">
        <f t="shared" si="1"/>
        <v>14</v>
      </c>
      <c r="B41" s="138" t="str">
        <f t="shared" si="1"/>
        <v>Palangka Raya</v>
      </c>
      <c r="C41" s="138">
        <v>0</v>
      </c>
      <c r="D41" s="138">
        <v>0</v>
      </c>
      <c r="E41" s="397">
        <f t="shared" si="2"/>
        <v>0</v>
      </c>
    </row>
    <row r="42" spans="1:5" ht="15">
      <c r="A42" s="138"/>
      <c r="B42" s="73"/>
      <c r="C42" s="138"/>
      <c r="D42" s="138"/>
      <c r="E42" s="397"/>
    </row>
    <row r="43" spans="1:5" ht="15">
      <c r="A43" s="228" t="s">
        <v>346</v>
      </c>
      <c r="B43" s="145"/>
      <c r="C43" s="147">
        <f>SUM(C28:C41)</f>
        <v>38</v>
      </c>
      <c r="D43" s="147">
        <f>SUM(D28:D41)</f>
        <v>9</v>
      </c>
      <c r="E43" s="396">
        <f>SUM(C43:D43)</f>
        <v>47</v>
      </c>
    </row>
    <row r="44" spans="1:5" ht="15">
      <c r="A44" s="23" t="s">
        <v>873</v>
      </c>
      <c r="B44" s="73" t="s">
        <v>428</v>
      </c>
      <c r="C44" s="138"/>
      <c r="D44" s="138"/>
      <c r="E44" s="397">
        <f>C44+D44</f>
        <v>0</v>
      </c>
    </row>
    <row r="45" spans="1:5" ht="15">
      <c r="A45" s="138">
        <f aca="true" t="shared" si="3" ref="A45:A58">A28</f>
        <v>1</v>
      </c>
      <c r="B45" s="138" t="s">
        <v>874</v>
      </c>
      <c r="C45" s="138">
        <v>0</v>
      </c>
      <c r="D45" s="138">
        <v>0</v>
      </c>
      <c r="E45" s="397">
        <f aca="true" t="shared" si="4" ref="E45:E59">C45+D45</f>
        <v>0</v>
      </c>
    </row>
    <row r="46" spans="1:5" ht="15">
      <c r="A46" s="138">
        <f t="shared" si="3"/>
        <v>2</v>
      </c>
      <c r="B46" s="138" t="s">
        <v>846</v>
      </c>
      <c r="C46" s="138">
        <v>0</v>
      </c>
      <c r="D46" s="138">
        <v>0</v>
      </c>
      <c r="E46" s="397">
        <f t="shared" si="4"/>
        <v>0</v>
      </c>
    </row>
    <row r="47" spans="1:5" ht="15">
      <c r="A47" s="138">
        <f t="shared" si="3"/>
        <v>3</v>
      </c>
      <c r="B47" s="138" t="str">
        <f>B30</f>
        <v>Sukamara</v>
      </c>
      <c r="C47" s="138">
        <v>0</v>
      </c>
      <c r="D47" s="138">
        <v>0</v>
      </c>
      <c r="E47" s="397">
        <f t="shared" si="4"/>
        <v>0</v>
      </c>
    </row>
    <row r="48" spans="1:5" ht="15">
      <c r="A48" s="138">
        <f t="shared" si="3"/>
        <v>4</v>
      </c>
      <c r="B48" s="138" t="s">
        <v>875</v>
      </c>
      <c r="C48" s="138">
        <v>0</v>
      </c>
      <c r="D48" s="138">
        <v>0</v>
      </c>
      <c r="E48" s="397">
        <f t="shared" si="4"/>
        <v>0</v>
      </c>
    </row>
    <row r="49" spans="1:5" ht="15">
      <c r="A49" s="138">
        <f t="shared" si="3"/>
        <v>5</v>
      </c>
      <c r="B49" s="138" t="s">
        <v>876</v>
      </c>
      <c r="C49" s="138">
        <v>0</v>
      </c>
      <c r="D49" s="138">
        <v>0</v>
      </c>
      <c r="E49" s="397">
        <f t="shared" si="4"/>
        <v>0</v>
      </c>
    </row>
    <row r="50" spans="1:5" ht="15">
      <c r="A50" s="138">
        <f t="shared" si="3"/>
        <v>6</v>
      </c>
      <c r="B50" s="138" t="s">
        <v>0</v>
      </c>
      <c r="C50" s="138">
        <v>0</v>
      </c>
      <c r="D50" s="138">
        <v>0</v>
      </c>
      <c r="E50" s="397">
        <f t="shared" si="4"/>
        <v>0</v>
      </c>
    </row>
    <row r="51" spans="1:5" ht="15">
      <c r="A51" s="138">
        <f t="shared" si="3"/>
        <v>7</v>
      </c>
      <c r="B51" s="138" t="s">
        <v>918</v>
      </c>
      <c r="C51" s="138">
        <v>0</v>
      </c>
      <c r="D51" s="138">
        <v>0</v>
      </c>
      <c r="E51" s="397">
        <f t="shared" si="4"/>
        <v>0</v>
      </c>
    </row>
    <row r="52" spans="1:5" ht="15">
      <c r="A52" s="138">
        <f t="shared" si="3"/>
        <v>8</v>
      </c>
      <c r="B52" s="138" t="s">
        <v>877</v>
      </c>
      <c r="C52" s="138">
        <v>0</v>
      </c>
      <c r="D52" s="138">
        <v>0</v>
      </c>
      <c r="E52" s="397">
        <f t="shared" si="4"/>
        <v>0</v>
      </c>
    </row>
    <row r="53" spans="1:5" ht="15">
      <c r="A53" s="138">
        <f t="shared" si="3"/>
        <v>9</v>
      </c>
      <c r="B53" s="138" t="str">
        <f>B35</f>
        <v>Pulang Pisau</v>
      </c>
      <c r="C53" s="138">
        <v>0</v>
      </c>
      <c r="D53" s="138">
        <v>0</v>
      </c>
      <c r="E53" s="397">
        <f t="shared" si="4"/>
        <v>0</v>
      </c>
    </row>
    <row r="54" spans="1:5" ht="15">
      <c r="A54" s="138">
        <f t="shared" si="3"/>
        <v>10</v>
      </c>
      <c r="B54" s="138" t="s">
        <v>878</v>
      </c>
      <c r="C54" s="138">
        <v>0</v>
      </c>
      <c r="D54" s="138">
        <v>0</v>
      </c>
      <c r="E54" s="397">
        <f t="shared" si="4"/>
        <v>0</v>
      </c>
    </row>
    <row r="55" spans="1:5" ht="15">
      <c r="A55" s="138">
        <f t="shared" si="3"/>
        <v>11</v>
      </c>
      <c r="B55" s="138" t="s">
        <v>879</v>
      </c>
      <c r="C55" s="138">
        <v>0</v>
      </c>
      <c r="D55" s="138">
        <v>0</v>
      </c>
      <c r="E55" s="397">
        <f t="shared" si="4"/>
        <v>0</v>
      </c>
    </row>
    <row r="56" spans="1:5" ht="15">
      <c r="A56" s="138">
        <f t="shared" si="3"/>
        <v>12</v>
      </c>
      <c r="B56" s="138" t="s">
        <v>880</v>
      </c>
      <c r="C56" s="138">
        <v>0</v>
      </c>
      <c r="D56" s="138">
        <v>0</v>
      </c>
      <c r="E56" s="397">
        <f t="shared" si="4"/>
        <v>0</v>
      </c>
    </row>
    <row r="57" spans="1:5" ht="15">
      <c r="A57" s="138">
        <f t="shared" si="3"/>
        <v>13</v>
      </c>
      <c r="B57" s="138" t="s">
        <v>881</v>
      </c>
      <c r="C57" s="138">
        <v>0</v>
      </c>
      <c r="D57" s="138">
        <v>0</v>
      </c>
      <c r="E57" s="397">
        <f t="shared" si="4"/>
        <v>0</v>
      </c>
    </row>
    <row r="58" spans="1:5" ht="15">
      <c r="A58" s="138">
        <f t="shared" si="3"/>
        <v>14</v>
      </c>
      <c r="B58" s="138" t="s">
        <v>882</v>
      </c>
      <c r="C58" s="138">
        <v>0</v>
      </c>
      <c r="D58" s="138">
        <v>0</v>
      </c>
      <c r="E58" s="397">
        <f t="shared" si="4"/>
        <v>0</v>
      </c>
    </row>
    <row r="59" spans="1:5" ht="15">
      <c r="A59" s="138">
        <v>15</v>
      </c>
      <c r="B59" s="138" t="s">
        <v>883</v>
      </c>
      <c r="C59" s="138">
        <v>0</v>
      </c>
      <c r="D59" s="138">
        <v>0</v>
      </c>
      <c r="E59" s="397">
        <f t="shared" si="4"/>
        <v>0</v>
      </c>
    </row>
    <row r="60" spans="1:5" s="18" customFormat="1" ht="15">
      <c r="A60" s="158"/>
      <c r="B60" s="158"/>
      <c r="C60" s="158"/>
      <c r="D60" s="158"/>
      <c r="E60" s="398"/>
    </row>
    <row r="61" spans="1:5" s="18" customFormat="1" ht="15">
      <c r="A61" s="228" t="s">
        <v>884</v>
      </c>
      <c r="B61" s="145"/>
      <c r="C61" s="147">
        <f>SUM(C45:C59)</f>
        <v>0</v>
      </c>
      <c r="D61" s="147">
        <f>SUM(D45:D59)</f>
        <v>0</v>
      </c>
      <c r="E61" s="396">
        <f>SUM(C61:D61)</f>
        <v>0</v>
      </c>
    </row>
    <row r="62" spans="1:5" s="18" customFormat="1" ht="15">
      <c r="A62" s="228"/>
      <c r="B62" s="228"/>
      <c r="C62" s="228"/>
      <c r="D62" s="228"/>
      <c r="E62" s="396"/>
    </row>
    <row r="63" spans="1:5" ht="19.5" customHeight="1" thickBot="1">
      <c r="A63" s="165" t="s">
        <v>859</v>
      </c>
      <c r="B63" s="448"/>
      <c r="C63" s="462">
        <f>C26+C43+C61</f>
        <v>92613</v>
      </c>
      <c r="D63" s="462">
        <f>D26+D43+D61</f>
        <v>58932</v>
      </c>
      <c r="E63" s="462">
        <f>E26+E43+E61</f>
        <v>151545</v>
      </c>
    </row>
    <row r="64" spans="1:4" ht="15">
      <c r="A64" s="18"/>
      <c r="B64" s="18"/>
      <c r="C64" s="18"/>
      <c r="D64" s="18"/>
    </row>
    <row r="65" ht="15">
      <c r="A65" s="525" t="s">
        <v>243</v>
      </c>
    </row>
  </sheetData>
  <mergeCells count="5">
    <mergeCell ref="A7:A8"/>
    <mergeCell ref="B7:B8"/>
    <mergeCell ref="A3:E3"/>
    <mergeCell ref="A4:E4"/>
    <mergeCell ref="A5:E5"/>
  </mergeCells>
  <printOptions horizontalCentered="1"/>
  <pageMargins left="0.9055118110236221" right="0.5118110236220472" top="0.7874015748031497" bottom="0.984251968503937" header="0" footer="0.7874015748031497"/>
  <pageSetup horizontalDpi="300" verticalDpi="300" orientation="portrait" paperSize="9" scale="70" r:id="rId1"/>
  <headerFooter alignWithMargins="0">
    <oddFooter>&amp;C92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J31"/>
  <sheetViews>
    <sheetView view="pageBreakPreview" zoomScale="60" zoomScaleNormal="75" workbookViewId="0" topLeftCell="A1">
      <selection activeCell="B32" sqref="B32"/>
    </sheetView>
  </sheetViews>
  <sheetFormatPr defaultColWidth="9.140625" defaultRowHeight="12.75"/>
  <cols>
    <col min="1" max="1" width="5.7109375" style="133" customWidth="1"/>
    <col min="2" max="2" width="24.00390625" style="133" customWidth="1"/>
    <col min="3" max="3" width="15.7109375" style="133" customWidth="1"/>
    <col min="4" max="4" width="12.7109375" style="133" customWidth="1"/>
    <col min="5" max="5" width="14.421875" style="133" customWidth="1"/>
    <col min="6" max="7" width="12.7109375" style="133" customWidth="1"/>
    <col min="8" max="8" width="14.8515625" style="133" customWidth="1"/>
    <col min="9" max="9" width="12.7109375" style="133" customWidth="1"/>
    <col min="10" max="16384" width="9.140625" style="133" customWidth="1"/>
  </cols>
  <sheetData>
    <row r="1" ht="15">
      <c r="A1" s="132" t="s">
        <v>453</v>
      </c>
    </row>
    <row r="2" spans="1:9" ht="15">
      <c r="A2" s="177" t="s">
        <v>1</v>
      </c>
      <c r="B2" s="177"/>
      <c r="C2" s="177"/>
      <c r="D2" s="177"/>
      <c r="E2" s="177"/>
      <c r="F2" s="177"/>
      <c r="G2" s="177"/>
      <c r="H2" s="177"/>
      <c r="I2" s="177"/>
    </row>
    <row r="3" spans="1:9" ht="15">
      <c r="A3" s="654" t="s">
        <v>374</v>
      </c>
      <c r="B3" s="654"/>
      <c r="C3" s="654"/>
      <c r="D3" s="654"/>
      <c r="E3" s="654"/>
      <c r="F3" s="654"/>
      <c r="G3" s="654"/>
      <c r="H3" s="654"/>
      <c r="I3" s="654"/>
    </row>
    <row r="4" spans="1:9" ht="15">
      <c r="A4" s="654" t="str">
        <f>1!A5</f>
        <v>PROVINSI KALIMANTAN TENGAH</v>
      </c>
      <c r="B4" s="654"/>
      <c r="C4" s="654"/>
      <c r="D4" s="654"/>
      <c r="E4" s="654"/>
      <c r="F4" s="654"/>
      <c r="G4" s="654"/>
      <c r="H4" s="654"/>
      <c r="I4" s="654"/>
    </row>
    <row r="5" spans="1:9" ht="15">
      <c r="A5" s="654" t="str">
        <f>1!A6</f>
        <v>TAHUN 2009</v>
      </c>
      <c r="B5" s="654"/>
      <c r="C5" s="654"/>
      <c r="D5" s="654"/>
      <c r="E5" s="654"/>
      <c r="F5" s="654"/>
      <c r="G5" s="654"/>
      <c r="H5" s="654"/>
      <c r="I5" s="654"/>
    </row>
    <row r="6" spans="4:9" ht="15.75" thickBot="1">
      <c r="D6" s="73"/>
      <c r="E6" s="73"/>
      <c r="F6" s="73"/>
      <c r="G6" s="73"/>
      <c r="H6" s="73"/>
      <c r="I6" s="73"/>
    </row>
    <row r="7" spans="1:9" ht="19.5" customHeight="1">
      <c r="A7" s="637" t="s">
        <v>2</v>
      </c>
      <c r="B7" s="637" t="s">
        <v>844</v>
      </c>
      <c r="C7" s="547" t="s">
        <v>458</v>
      </c>
      <c r="D7" s="93" t="s">
        <v>375</v>
      </c>
      <c r="E7" s="95"/>
      <c r="F7" s="95"/>
      <c r="G7" s="95"/>
      <c r="H7" s="95"/>
      <c r="I7" s="96"/>
    </row>
    <row r="8" spans="1:9" ht="28.5">
      <c r="A8" s="638"/>
      <c r="B8" s="638"/>
      <c r="C8" s="559"/>
      <c r="D8" s="229" t="s">
        <v>40</v>
      </c>
      <c r="E8" s="365" t="s">
        <v>39</v>
      </c>
      <c r="F8" s="365" t="s">
        <v>733</v>
      </c>
      <c r="G8" s="229" t="s">
        <v>38</v>
      </c>
      <c r="H8" s="229" t="s">
        <v>21</v>
      </c>
      <c r="I8" s="136" t="s">
        <v>27</v>
      </c>
    </row>
    <row r="9" spans="1:9" ht="15">
      <c r="A9" s="137">
        <v>1</v>
      </c>
      <c r="B9" s="137">
        <v>2</v>
      </c>
      <c r="C9" s="137">
        <v>4</v>
      </c>
      <c r="D9" s="137">
        <v>5</v>
      </c>
      <c r="E9" s="137">
        <v>6</v>
      </c>
      <c r="F9" s="137">
        <v>7</v>
      </c>
      <c r="G9" s="137">
        <v>8</v>
      </c>
      <c r="H9" s="137">
        <v>9</v>
      </c>
      <c r="I9" s="59">
        <v>10</v>
      </c>
    </row>
    <row r="10" spans="1:10" ht="15.75">
      <c r="A10" s="183">
        <f>6!A11</f>
        <v>1</v>
      </c>
      <c r="B10" s="183" t="str">
        <f>6!B11</f>
        <v>Kotawaringin Barat</v>
      </c>
      <c r="C10" s="139">
        <f>1!G12</f>
        <v>258767</v>
      </c>
      <c r="D10" s="139">
        <v>10183</v>
      </c>
      <c r="E10" s="139">
        <v>2110</v>
      </c>
      <c r="F10" s="230">
        <v>44772</v>
      </c>
      <c r="G10" s="230">
        <v>173919</v>
      </c>
      <c r="H10" s="230">
        <f>SUM(D10:G10)</f>
        <v>230984</v>
      </c>
      <c r="I10" s="231">
        <f aca="true" t="shared" si="0" ref="I10:I25">H10/C10*100</f>
        <v>89.26331410110254</v>
      </c>
      <c r="J10" s="498"/>
    </row>
    <row r="11" spans="1:9" ht="15">
      <c r="A11" s="183">
        <f>6!A12</f>
        <v>2</v>
      </c>
      <c r="B11" s="183" t="str">
        <f>6!B12</f>
        <v>Lamandau</v>
      </c>
      <c r="C11" s="139">
        <f>1!G13</f>
        <v>63079</v>
      </c>
      <c r="D11" s="139">
        <v>5881</v>
      </c>
      <c r="E11" s="139">
        <v>0</v>
      </c>
      <c r="F11" s="230">
        <v>18133</v>
      </c>
      <c r="G11" s="230">
        <v>0</v>
      </c>
      <c r="H11" s="230">
        <f aca="true" t="shared" si="1" ref="H11:H24">SUM(D11:G11)</f>
        <v>24014</v>
      </c>
      <c r="I11" s="231">
        <f t="shared" si="0"/>
        <v>38.0697220945164</v>
      </c>
    </row>
    <row r="12" spans="1:9" ht="15">
      <c r="A12" s="183">
        <f>6!A13</f>
        <v>3</v>
      </c>
      <c r="B12" s="183" t="str">
        <f>6!B13</f>
        <v>Sukamara</v>
      </c>
      <c r="C12" s="139">
        <f>1!G14</f>
        <v>43253</v>
      </c>
      <c r="D12" s="139">
        <v>3565</v>
      </c>
      <c r="E12" s="139">
        <v>0</v>
      </c>
      <c r="F12" s="230">
        <v>10541</v>
      </c>
      <c r="G12" s="230">
        <v>0</v>
      </c>
      <c r="H12" s="230">
        <f t="shared" si="1"/>
        <v>14106</v>
      </c>
      <c r="I12" s="231">
        <f t="shared" si="0"/>
        <v>32.61276674450327</v>
      </c>
    </row>
    <row r="13" spans="1:9" ht="15">
      <c r="A13" s="183">
        <f>6!A14</f>
        <v>4</v>
      </c>
      <c r="B13" s="183" t="str">
        <f>6!B14</f>
        <v>Kotawaringin Timur</v>
      </c>
      <c r="C13" s="139">
        <f>1!G15</f>
        <v>328817</v>
      </c>
      <c r="D13" s="139">
        <v>20864</v>
      </c>
      <c r="E13" s="139">
        <v>0</v>
      </c>
      <c r="F13" s="230">
        <v>102035</v>
      </c>
      <c r="G13" s="230">
        <v>0</v>
      </c>
      <c r="H13" s="230">
        <f>SUM(D13:G13)</f>
        <v>122899</v>
      </c>
      <c r="I13" s="231">
        <f t="shared" si="0"/>
        <v>37.37610889947904</v>
      </c>
    </row>
    <row r="14" spans="1:9" ht="15">
      <c r="A14" s="183">
        <f>6!A15</f>
        <v>5</v>
      </c>
      <c r="B14" s="183" t="str">
        <f>6!B15</f>
        <v>Seruyan</v>
      </c>
      <c r="C14" s="139">
        <f>1!G16</f>
        <v>137012</v>
      </c>
      <c r="D14" s="139">
        <v>3177</v>
      </c>
      <c r="E14" s="607" t="s">
        <v>694</v>
      </c>
      <c r="F14" s="230">
        <v>11694</v>
      </c>
      <c r="G14" s="230">
        <v>0</v>
      </c>
      <c r="H14" s="230">
        <f t="shared" si="1"/>
        <v>14871</v>
      </c>
      <c r="I14" s="231">
        <f t="shared" si="0"/>
        <v>10.853793828277816</v>
      </c>
    </row>
    <row r="15" spans="1:9" ht="15">
      <c r="A15" s="183">
        <f>6!A16</f>
        <v>6</v>
      </c>
      <c r="B15" s="183" t="str">
        <f>6!B16</f>
        <v>Katingan</v>
      </c>
      <c r="C15" s="139">
        <f>1!G17</f>
        <v>148912</v>
      </c>
      <c r="D15" s="607" t="s">
        <v>694</v>
      </c>
      <c r="E15" s="607" t="s">
        <v>694</v>
      </c>
      <c r="F15" s="230">
        <v>52967</v>
      </c>
      <c r="G15" s="608" t="s">
        <v>694</v>
      </c>
      <c r="H15" s="230">
        <f t="shared" si="1"/>
        <v>52967</v>
      </c>
      <c r="I15" s="231">
        <f t="shared" si="0"/>
        <v>35.5693295369077</v>
      </c>
    </row>
    <row r="16" spans="1:9" ht="15">
      <c r="A16" s="183">
        <f>6!A17</f>
        <v>7</v>
      </c>
      <c r="B16" s="183" t="str">
        <f>6!B17</f>
        <v>Kapuas</v>
      </c>
      <c r="C16" s="139">
        <f>1!G18</f>
        <v>339824</v>
      </c>
      <c r="D16" s="139">
        <v>24708</v>
      </c>
      <c r="E16" s="139">
        <v>0</v>
      </c>
      <c r="F16" s="139">
        <v>170841</v>
      </c>
      <c r="G16" s="230">
        <v>144275</v>
      </c>
      <c r="H16" s="230">
        <f t="shared" si="1"/>
        <v>339824</v>
      </c>
      <c r="I16" s="231">
        <f t="shared" si="0"/>
        <v>100</v>
      </c>
    </row>
    <row r="17" spans="1:9" ht="15">
      <c r="A17" s="183">
        <f>6!A18</f>
        <v>8</v>
      </c>
      <c r="B17" s="183" t="str">
        <f>6!B18</f>
        <v>Pulang Pisau</v>
      </c>
      <c r="C17" s="139">
        <f>1!G19</f>
        <v>122542</v>
      </c>
      <c r="D17" s="139">
        <v>9043</v>
      </c>
      <c r="E17" s="139">
        <v>0</v>
      </c>
      <c r="F17" s="230">
        <v>67563</v>
      </c>
      <c r="G17" s="230">
        <v>0</v>
      </c>
      <c r="H17" s="230">
        <f t="shared" si="1"/>
        <v>76606</v>
      </c>
      <c r="I17" s="231">
        <f t="shared" si="0"/>
        <v>62.514076806319466</v>
      </c>
    </row>
    <row r="18" spans="1:9" ht="15">
      <c r="A18" s="183">
        <f>6!A19</f>
        <v>9</v>
      </c>
      <c r="B18" s="183" t="str">
        <f>6!B19</f>
        <v>Gunung Mas</v>
      </c>
      <c r="C18" s="139">
        <f>1!G20</f>
        <v>97898</v>
      </c>
      <c r="D18" s="139">
        <v>5543</v>
      </c>
      <c r="E18" s="139">
        <v>0</v>
      </c>
      <c r="F18" s="230">
        <v>27001</v>
      </c>
      <c r="G18" s="230">
        <v>82427</v>
      </c>
      <c r="H18" s="230">
        <f t="shared" si="1"/>
        <v>114971</v>
      </c>
      <c r="I18" s="231">
        <f t="shared" si="0"/>
        <v>117.43957997099021</v>
      </c>
    </row>
    <row r="19" spans="1:9" ht="15">
      <c r="A19" s="183">
        <f>6!A20</f>
        <v>10</v>
      </c>
      <c r="B19" s="183" t="str">
        <f>6!B20</f>
        <v>Barito Selatan</v>
      </c>
      <c r="C19" s="139">
        <f>1!G21</f>
        <v>127058</v>
      </c>
      <c r="D19" s="139">
        <v>13473</v>
      </c>
      <c r="E19" s="139">
        <v>731</v>
      </c>
      <c r="F19" s="230">
        <v>22446</v>
      </c>
      <c r="G19" s="230">
        <v>0</v>
      </c>
      <c r="H19" s="230">
        <f t="shared" si="1"/>
        <v>36650</v>
      </c>
      <c r="I19" s="231">
        <f t="shared" si="0"/>
        <v>28.845094366352374</v>
      </c>
    </row>
    <row r="20" spans="1:9" ht="15">
      <c r="A20" s="183">
        <f>6!A21</f>
        <v>11</v>
      </c>
      <c r="B20" s="183" t="str">
        <f>6!B21</f>
        <v>Barito Timur</v>
      </c>
      <c r="C20" s="139">
        <f>1!G22</f>
        <v>93898</v>
      </c>
      <c r="D20" s="139">
        <v>8952</v>
      </c>
      <c r="E20" s="139">
        <v>0</v>
      </c>
      <c r="F20" s="230">
        <v>22412</v>
      </c>
      <c r="G20" s="230">
        <v>0</v>
      </c>
      <c r="H20" s="230">
        <f t="shared" si="1"/>
        <v>31364</v>
      </c>
      <c r="I20" s="231">
        <f t="shared" si="0"/>
        <v>33.40220238982726</v>
      </c>
    </row>
    <row r="21" spans="1:9" ht="15">
      <c r="A21" s="183">
        <f>6!A22</f>
        <v>12</v>
      </c>
      <c r="B21" s="183" t="str">
        <f>6!B22</f>
        <v>Barito Utara</v>
      </c>
      <c r="C21" s="139">
        <f>1!G23</f>
        <v>122776</v>
      </c>
      <c r="D21" s="139">
        <v>14518</v>
      </c>
      <c r="E21" s="139">
        <v>0</v>
      </c>
      <c r="F21" s="230">
        <v>58565</v>
      </c>
      <c r="G21" s="230">
        <v>0</v>
      </c>
      <c r="H21" s="230">
        <f t="shared" si="1"/>
        <v>73083</v>
      </c>
      <c r="I21" s="231">
        <f t="shared" si="0"/>
        <v>59.52547729197889</v>
      </c>
    </row>
    <row r="22" spans="1:9" ht="15">
      <c r="A22" s="183">
        <f>6!A23</f>
        <v>13</v>
      </c>
      <c r="B22" s="183" t="str">
        <f>6!B23</f>
        <v>Murung Raya</v>
      </c>
      <c r="C22" s="139">
        <f>1!G24</f>
        <v>98834</v>
      </c>
      <c r="D22" s="139">
        <v>4717</v>
      </c>
      <c r="E22" s="139">
        <v>2365</v>
      </c>
      <c r="F22" s="230">
        <v>24376</v>
      </c>
      <c r="G22" s="230">
        <v>0</v>
      </c>
      <c r="H22" s="230">
        <f t="shared" si="1"/>
        <v>31458</v>
      </c>
      <c r="I22" s="231">
        <f t="shared" si="0"/>
        <v>31.82912762814416</v>
      </c>
    </row>
    <row r="23" spans="1:9" ht="15">
      <c r="A23" s="183">
        <f>6!A24</f>
        <v>14</v>
      </c>
      <c r="B23" s="183" t="str">
        <f>6!B24</f>
        <v>Palangka Raya</v>
      </c>
      <c r="C23" s="139">
        <f>1!G25</f>
        <v>200998</v>
      </c>
      <c r="D23" s="139">
        <v>48668</v>
      </c>
      <c r="E23" s="139">
        <v>10441</v>
      </c>
      <c r="F23" s="230">
        <v>55707</v>
      </c>
      <c r="G23" s="230">
        <v>86182</v>
      </c>
      <c r="H23" s="230">
        <f t="shared" si="1"/>
        <v>200998</v>
      </c>
      <c r="I23" s="231">
        <f t="shared" si="0"/>
        <v>100</v>
      </c>
    </row>
    <row r="24" spans="1:9" ht="15">
      <c r="A24" s="232"/>
      <c r="B24" s="232"/>
      <c r="C24" s="164"/>
      <c r="D24" s="164"/>
      <c r="E24" s="164"/>
      <c r="F24" s="233"/>
      <c r="G24" s="233"/>
      <c r="H24" s="230">
        <f t="shared" si="1"/>
        <v>0</v>
      </c>
      <c r="I24" s="231"/>
    </row>
    <row r="25" spans="1:9" ht="15.75" thickBot="1">
      <c r="A25" s="165" t="s">
        <v>859</v>
      </c>
      <c r="B25" s="234"/>
      <c r="C25" s="235">
        <f aca="true" t="shared" si="2" ref="C25:H25">SUM(C10:C24)</f>
        <v>2183668</v>
      </c>
      <c r="D25" s="147">
        <f t="shared" si="2"/>
        <v>173292</v>
      </c>
      <c r="E25" s="147">
        <f t="shared" si="2"/>
        <v>15647</v>
      </c>
      <c r="F25" s="147">
        <f t="shared" si="2"/>
        <v>689053</v>
      </c>
      <c r="G25" s="147">
        <f t="shared" si="2"/>
        <v>486803</v>
      </c>
      <c r="H25" s="147">
        <f t="shared" si="2"/>
        <v>1364795</v>
      </c>
      <c r="I25" s="236">
        <f t="shared" si="0"/>
        <v>62.50011448626805</v>
      </c>
    </row>
    <row r="26" spans="1:9" ht="15.75" thickBot="1">
      <c r="A26" s="237" t="s">
        <v>25</v>
      </c>
      <c r="B26" s="238"/>
      <c r="C26" s="239"/>
      <c r="D26" s="184">
        <f>D25/$C25*100</f>
        <v>7.935821745796521</v>
      </c>
      <c r="E26" s="184">
        <f>E25/$C25*100</f>
        <v>0.7165466545280693</v>
      </c>
      <c r="F26" s="184">
        <f>F25/$C25*100</f>
        <v>31.55484258596087</v>
      </c>
      <c r="G26" s="184">
        <f>G25/$C25*100</f>
        <v>22.292903499982597</v>
      </c>
      <c r="H26" s="184">
        <f>H25/$C25*100</f>
        <v>62.50011448626805</v>
      </c>
      <c r="I26" s="399"/>
    </row>
    <row r="27" spans="1:9" ht="15">
      <c r="A27" s="73"/>
      <c r="B27" s="114"/>
      <c r="C27" s="114"/>
      <c r="D27" s="73"/>
      <c r="E27" s="73"/>
      <c r="F27" s="73"/>
      <c r="G27" s="73"/>
      <c r="H27" s="73"/>
      <c r="I27" s="73"/>
    </row>
    <row r="28" spans="1:8" ht="15">
      <c r="A28" s="525" t="s">
        <v>243</v>
      </c>
      <c r="F28" s="240"/>
      <c r="G28" s="240"/>
      <c r="H28" s="240"/>
    </row>
    <row r="29" ht="15">
      <c r="I29" s="511"/>
    </row>
    <row r="30" ht="15">
      <c r="A30" s="133" t="s">
        <v>527</v>
      </c>
    </row>
    <row r="31" ht="15">
      <c r="B31" s="133" t="s">
        <v>967</v>
      </c>
    </row>
  </sheetData>
  <mergeCells count="6">
    <mergeCell ref="A3:I3"/>
    <mergeCell ref="A4:I4"/>
    <mergeCell ref="A5:I5"/>
    <mergeCell ref="A7:A8"/>
    <mergeCell ref="C7:C8"/>
    <mergeCell ref="B7:B8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94" r:id="rId1"/>
  <headerFooter alignWithMargins="0">
    <oddFooter>&amp;C93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L29"/>
  <sheetViews>
    <sheetView view="pageBreakPreview" zoomScale="60" zoomScaleNormal="75" workbookViewId="0" topLeftCell="A1">
      <selection activeCell="D32" sqref="D32"/>
    </sheetView>
  </sheetViews>
  <sheetFormatPr defaultColWidth="9.140625" defaultRowHeight="12.75"/>
  <cols>
    <col min="1" max="1" width="5.7109375" style="14" customWidth="1"/>
    <col min="2" max="2" width="38.57421875" style="14" customWidth="1"/>
    <col min="3" max="3" width="19.8515625" style="14" customWidth="1"/>
    <col min="4" max="4" width="12.28125" style="14" customWidth="1"/>
    <col min="5" max="5" width="10.8515625" style="14" customWidth="1"/>
    <col min="6" max="6" width="12.140625" style="14" customWidth="1"/>
    <col min="7" max="7" width="10.421875" style="14" customWidth="1"/>
    <col min="8" max="8" width="12.140625" style="14" customWidth="1"/>
    <col min="9" max="9" width="10.421875" style="14" customWidth="1"/>
    <col min="10" max="10" width="15.00390625" style="14" customWidth="1"/>
    <col min="11" max="11" width="12.7109375" style="14" customWidth="1"/>
    <col min="12" max="12" width="10.7109375" style="14" customWidth="1"/>
    <col min="13" max="16384" width="9.140625" style="14" customWidth="1"/>
  </cols>
  <sheetData>
    <row r="1" spans="1:2" ht="15">
      <c r="A1" s="132" t="s">
        <v>565</v>
      </c>
      <c r="B1" s="133"/>
    </row>
    <row r="2" spans="1:12" ht="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641" t="s">
        <v>788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</row>
    <row r="4" spans="1:12" ht="15">
      <c r="A4" s="641" t="str">
        <f>1!A5</f>
        <v>PROVINSI KALIMANTAN TENGAH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</row>
    <row r="5" spans="1:12" ht="15">
      <c r="A5" s="641" t="str">
        <f>1!A6</f>
        <v>TAHUN 2009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</row>
    <row r="6" spans="4:12" ht="15.75" thickBot="1">
      <c r="D6" s="18"/>
      <c r="E6" s="18"/>
      <c r="F6" s="18"/>
      <c r="G6" s="18"/>
      <c r="H6" s="18"/>
      <c r="I6" s="18"/>
      <c r="J6" s="18"/>
      <c r="K6" s="18"/>
      <c r="L6" s="18"/>
    </row>
    <row r="7" spans="1:12" ht="18" customHeight="1">
      <c r="A7" s="637" t="s">
        <v>2</v>
      </c>
      <c r="B7" s="637" t="s">
        <v>844</v>
      </c>
      <c r="C7" s="631" t="s">
        <v>736</v>
      </c>
      <c r="D7" s="632"/>
      <c r="E7" s="632"/>
      <c r="F7" s="632"/>
      <c r="G7" s="632"/>
      <c r="H7" s="632"/>
      <c r="I7" s="633"/>
      <c r="J7" s="631" t="s">
        <v>734</v>
      </c>
      <c r="K7" s="632"/>
      <c r="L7" s="633"/>
    </row>
    <row r="8" spans="1:12" ht="39" customHeight="1">
      <c r="A8" s="638"/>
      <c r="B8" s="638"/>
      <c r="C8" s="683" t="s">
        <v>510</v>
      </c>
      <c r="D8" s="684" t="s">
        <v>737</v>
      </c>
      <c r="E8" s="686"/>
      <c r="F8" s="684" t="s">
        <v>511</v>
      </c>
      <c r="G8" s="685"/>
      <c r="H8" s="685"/>
      <c r="I8" s="686"/>
      <c r="J8" s="681" t="s">
        <v>735</v>
      </c>
      <c r="K8" s="687" t="s">
        <v>738</v>
      </c>
      <c r="L8" s="688"/>
    </row>
    <row r="9" spans="1:12" ht="30">
      <c r="A9" s="639"/>
      <c r="B9" s="639"/>
      <c r="C9" s="560"/>
      <c r="D9" s="180" t="s">
        <v>21</v>
      </c>
      <c r="E9" s="180" t="s">
        <v>27</v>
      </c>
      <c r="F9" s="180" t="s">
        <v>841</v>
      </c>
      <c r="G9" s="180" t="s">
        <v>27</v>
      </c>
      <c r="H9" s="180" t="s">
        <v>842</v>
      </c>
      <c r="I9" s="180" t="s">
        <v>27</v>
      </c>
      <c r="J9" s="682"/>
      <c r="K9" s="180" t="s">
        <v>21</v>
      </c>
      <c r="L9" s="136" t="s">
        <v>27</v>
      </c>
    </row>
    <row r="10" spans="1:12" ht="15" customHeight="1">
      <c r="A10" s="137">
        <v>1</v>
      </c>
      <c r="B10" s="137">
        <v>2</v>
      </c>
      <c r="C10" s="137">
        <v>4</v>
      </c>
      <c r="D10" s="137">
        <v>5</v>
      </c>
      <c r="E10" s="137">
        <v>6</v>
      </c>
      <c r="F10" s="137">
        <v>7</v>
      </c>
      <c r="G10" s="137">
        <v>8</v>
      </c>
      <c r="H10" s="137">
        <v>9</v>
      </c>
      <c r="I10" s="137">
        <v>10</v>
      </c>
      <c r="J10" s="137">
        <v>11</v>
      </c>
      <c r="K10" s="137">
        <v>12</v>
      </c>
      <c r="L10" s="59">
        <v>13</v>
      </c>
    </row>
    <row r="11" spans="1:12" ht="15">
      <c r="A11" s="183">
        <f>6!A11</f>
        <v>1</v>
      </c>
      <c r="B11" s="183" t="str">
        <f>6!B11</f>
        <v>Kotawaringin Barat</v>
      </c>
      <c r="C11" s="139">
        <v>44772</v>
      </c>
      <c r="D11" s="139">
        <v>44772</v>
      </c>
      <c r="E11" s="227">
        <f>D11/C11*100</f>
        <v>100</v>
      </c>
      <c r="F11" s="139">
        <v>23871</v>
      </c>
      <c r="G11" s="467">
        <f>F11/C11*100</f>
        <v>53.31680514607344</v>
      </c>
      <c r="H11" s="64">
        <v>452</v>
      </c>
      <c r="I11" s="467">
        <f>H11/C11*100</f>
        <v>1.009559546144912</v>
      </c>
      <c r="J11" s="230">
        <v>137</v>
      </c>
      <c r="K11" s="230">
        <v>137</v>
      </c>
      <c r="L11" s="231">
        <f>K11/J11*100</f>
        <v>100</v>
      </c>
    </row>
    <row r="12" spans="1:12" ht="15">
      <c r="A12" s="183">
        <f>6!A12</f>
        <v>2</v>
      </c>
      <c r="B12" s="183" t="str">
        <f>6!B12</f>
        <v>Lamandau</v>
      </c>
      <c r="C12" s="139">
        <v>18133</v>
      </c>
      <c r="D12" s="139">
        <v>18133</v>
      </c>
      <c r="E12" s="227">
        <f>D12/C12*100</f>
        <v>100</v>
      </c>
      <c r="F12" s="139">
        <v>18133</v>
      </c>
      <c r="G12" s="227">
        <f>F12/C12*100</f>
        <v>100</v>
      </c>
      <c r="H12" s="64">
        <v>0</v>
      </c>
      <c r="I12" s="451">
        <f aca="true" t="shared" si="0" ref="I12:I26">H12/C12*100</f>
        <v>0</v>
      </c>
      <c r="J12" s="230">
        <v>0</v>
      </c>
      <c r="K12" s="230">
        <v>0</v>
      </c>
      <c r="L12" s="231">
        <v>0</v>
      </c>
    </row>
    <row r="13" spans="1:12" ht="15">
      <c r="A13" s="183">
        <f>6!A13</f>
        <v>3</v>
      </c>
      <c r="B13" s="183" t="str">
        <f>6!B13</f>
        <v>Sukamara</v>
      </c>
      <c r="C13" s="139">
        <v>10541</v>
      </c>
      <c r="D13" s="139">
        <v>8751</v>
      </c>
      <c r="E13" s="467">
        <f aca="true" t="shared" si="1" ref="E13:E26">D13/C13*100</f>
        <v>83.01868892894412</v>
      </c>
      <c r="F13" s="139">
        <v>34993</v>
      </c>
      <c r="G13" s="227">
        <f aca="true" t="shared" si="2" ref="G13:G26">F13/C13*100</f>
        <v>331.9704012902002</v>
      </c>
      <c r="H13" s="64">
        <v>195</v>
      </c>
      <c r="I13" s="467">
        <f t="shared" si="0"/>
        <v>1.8499193624893273</v>
      </c>
      <c r="J13" s="230" t="s">
        <v>694</v>
      </c>
      <c r="K13" s="230" t="s">
        <v>694</v>
      </c>
      <c r="L13" s="230" t="s">
        <v>694</v>
      </c>
    </row>
    <row r="14" spans="1:12" ht="15">
      <c r="A14" s="183">
        <f>6!A14</f>
        <v>4</v>
      </c>
      <c r="B14" s="183" t="str">
        <f>6!B14</f>
        <v>Kotawaringin Timur</v>
      </c>
      <c r="C14" s="139">
        <v>110963</v>
      </c>
      <c r="D14" s="139">
        <v>103466</v>
      </c>
      <c r="E14" s="467">
        <f t="shared" si="1"/>
        <v>93.24369384389392</v>
      </c>
      <c r="F14" s="139">
        <v>30833</v>
      </c>
      <c r="G14" s="467">
        <f t="shared" si="2"/>
        <v>27.78673972405216</v>
      </c>
      <c r="H14" s="64">
        <v>252</v>
      </c>
      <c r="I14" s="467">
        <f t="shared" si="0"/>
        <v>0.22710272793633915</v>
      </c>
      <c r="J14" s="230">
        <v>0</v>
      </c>
      <c r="K14" s="230">
        <v>0</v>
      </c>
      <c r="L14" s="231">
        <v>0</v>
      </c>
    </row>
    <row r="15" spans="1:12" ht="15">
      <c r="A15" s="183">
        <f>6!A15</f>
        <v>5</v>
      </c>
      <c r="B15" s="183" t="str">
        <f>6!B15</f>
        <v>Seruyan</v>
      </c>
      <c r="C15" s="139">
        <v>27143</v>
      </c>
      <c r="D15" s="139">
        <v>18716</v>
      </c>
      <c r="E15" s="467">
        <f t="shared" si="1"/>
        <v>68.95332129830895</v>
      </c>
      <c r="F15" s="139">
        <v>9903</v>
      </c>
      <c r="G15" s="467">
        <f t="shared" si="2"/>
        <v>36.484544818185164</v>
      </c>
      <c r="H15" s="64">
        <v>0</v>
      </c>
      <c r="I15" s="451">
        <f t="shared" si="0"/>
        <v>0</v>
      </c>
      <c r="J15" s="230">
        <v>0</v>
      </c>
      <c r="K15" s="230">
        <v>0</v>
      </c>
      <c r="L15" s="231">
        <v>0</v>
      </c>
    </row>
    <row r="16" spans="1:12" ht="15">
      <c r="A16" s="183">
        <f>6!A16</f>
        <v>6</v>
      </c>
      <c r="B16" s="183" t="str">
        <f>6!B16</f>
        <v>Katingan</v>
      </c>
      <c r="C16" s="139">
        <v>52967</v>
      </c>
      <c r="D16" s="139">
        <v>52967</v>
      </c>
      <c r="E16" s="227">
        <f t="shared" si="1"/>
        <v>100</v>
      </c>
      <c r="F16" s="139">
        <v>45500</v>
      </c>
      <c r="G16" s="467">
        <f t="shared" si="2"/>
        <v>85.90254309286914</v>
      </c>
      <c r="H16" s="64">
        <v>268</v>
      </c>
      <c r="I16" s="467">
        <f t="shared" si="0"/>
        <v>0.5059754186568997</v>
      </c>
      <c r="J16" s="230">
        <v>0</v>
      </c>
      <c r="K16" s="230">
        <v>0</v>
      </c>
      <c r="L16" s="231">
        <v>0</v>
      </c>
    </row>
    <row r="17" spans="1:12" ht="15">
      <c r="A17" s="183">
        <f>6!A17</f>
        <v>7</v>
      </c>
      <c r="B17" s="183" t="str">
        <f>6!B17</f>
        <v>Kapuas</v>
      </c>
      <c r="C17" s="139">
        <v>170841</v>
      </c>
      <c r="D17" s="139">
        <v>170841</v>
      </c>
      <c r="E17" s="227">
        <f t="shared" si="1"/>
        <v>100</v>
      </c>
      <c r="F17" s="139">
        <v>58416</v>
      </c>
      <c r="G17" s="467">
        <f t="shared" si="2"/>
        <v>34.193197183345916</v>
      </c>
      <c r="H17" s="64">
        <v>2561</v>
      </c>
      <c r="I17" s="467">
        <f t="shared" si="0"/>
        <v>1.4990546765706123</v>
      </c>
      <c r="J17" s="230" t="s">
        <v>694</v>
      </c>
      <c r="K17" s="230" t="s">
        <v>694</v>
      </c>
      <c r="L17" s="230" t="s">
        <v>694</v>
      </c>
    </row>
    <row r="18" spans="1:12" ht="15">
      <c r="A18" s="183">
        <f>6!A18</f>
        <v>8</v>
      </c>
      <c r="B18" s="183" t="str">
        <f>6!B18</f>
        <v>Pulang Pisau</v>
      </c>
      <c r="C18" s="139">
        <v>67563</v>
      </c>
      <c r="D18" s="139">
        <v>67563</v>
      </c>
      <c r="E18" s="227">
        <f t="shared" si="1"/>
        <v>100</v>
      </c>
      <c r="F18" s="139">
        <v>38164</v>
      </c>
      <c r="G18" s="479">
        <f t="shared" si="2"/>
        <v>56.48653849000193</v>
      </c>
      <c r="H18" s="64">
        <v>481</v>
      </c>
      <c r="I18" s="467">
        <f t="shared" si="0"/>
        <v>0.7119281263413406</v>
      </c>
      <c r="J18" s="230">
        <v>140</v>
      </c>
      <c r="K18" s="230">
        <v>140</v>
      </c>
      <c r="L18" s="231">
        <f aca="true" t="shared" si="3" ref="L18:L26">K18/J18*100</f>
        <v>100</v>
      </c>
    </row>
    <row r="19" spans="1:12" ht="15">
      <c r="A19" s="183">
        <f>6!A19</f>
        <v>9</v>
      </c>
      <c r="B19" s="183" t="str">
        <f>6!B19</f>
        <v>Gunung Mas</v>
      </c>
      <c r="C19" s="139">
        <v>99789</v>
      </c>
      <c r="D19" s="139">
        <v>29128</v>
      </c>
      <c r="E19" s="467">
        <f t="shared" si="1"/>
        <v>29.189590034973794</v>
      </c>
      <c r="F19" s="139">
        <v>10813</v>
      </c>
      <c r="G19" s="467">
        <f t="shared" si="2"/>
        <v>10.835863672348655</v>
      </c>
      <c r="H19" s="64">
        <v>117</v>
      </c>
      <c r="I19" s="467">
        <f t="shared" si="0"/>
        <v>0.1172473919971139</v>
      </c>
      <c r="J19" s="230">
        <v>53</v>
      </c>
      <c r="K19" s="230">
        <v>30</v>
      </c>
      <c r="L19" s="231">
        <f t="shared" si="3"/>
        <v>56.60377358490566</v>
      </c>
    </row>
    <row r="20" spans="1:12" ht="15">
      <c r="A20" s="183">
        <f>6!A20</f>
        <v>10</v>
      </c>
      <c r="B20" s="183" t="str">
        <f>6!B20</f>
        <v>Barito Selatan</v>
      </c>
      <c r="C20" s="139">
        <v>22446</v>
      </c>
      <c r="D20" s="139">
        <v>22446</v>
      </c>
      <c r="E20" s="227">
        <f t="shared" si="1"/>
        <v>100</v>
      </c>
      <c r="F20" s="139">
        <v>16713</v>
      </c>
      <c r="G20" s="467">
        <f t="shared" si="2"/>
        <v>74.45870088211709</v>
      </c>
      <c r="H20" s="64">
        <v>43</v>
      </c>
      <c r="I20" s="467">
        <f t="shared" si="0"/>
        <v>0.19157088122605362</v>
      </c>
      <c r="J20" s="230">
        <v>555</v>
      </c>
      <c r="K20" s="230">
        <v>555</v>
      </c>
      <c r="L20" s="231">
        <f t="shared" si="3"/>
        <v>100</v>
      </c>
    </row>
    <row r="21" spans="1:12" ht="15">
      <c r="A21" s="183">
        <f>6!A21</f>
        <v>11</v>
      </c>
      <c r="B21" s="183" t="str">
        <f>6!B21</f>
        <v>Barito Timur</v>
      </c>
      <c r="C21" s="139">
        <v>22413</v>
      </c>
      <c r="D21" s="139">
        <v>7013</v>
      </c>
      <c r="E21" s="467">
        <f t="shared" si="1"/>
        <v>31.28987641101147</v>
      </c>
      <c r="F21" s="139">
        <v>10773</v>
      </c>
      <c r="G21" s="467">
        <f t="shared" si="2"/>
        <v>48.06585463793334</v>
      </c>
      <c r="H21" s="64">
        <v>73</v>
      </c>
      <c r="I21" s="467">
        <f t="shared" si="0"/>
        <v>0.3257038325971534</v>
      </c>
      <c r="J21" s="230">
        <v>10</v>
      </c>
      <c r="K21" s="230">
        <v>8</v>
      </c>
      <c r="L21" s="231">
        <f t="shared" si="3"/>
        <v>80</v>
      </c>
    </row>
    <row r="22" spans="1:12" ht="15">
      <c r="A22" s="183">
        <f>6!A22</f>
        <v>12</v>
      </c>
      <c r="B22" s="183" t="str">
        <f>6!B22</f>
        <v>Barito Utara</v>
      </c>
      <c r="C22" s="139">
        <v>58565</v>
      </c>
      <c r="D22" s="139">
        <v>58565</v>
      </c>
      <c r="E22" s="227">
        <f t="shared" si="1"/>
        <v>100</v>
      </c>
      <c r="F22" s="139">
        <v>27958</v>
      </c>
      <c r="G22" s="467">
        <f t="shared" si="2"/>
        <v>47.73841031332707</v>
      </c>
      <c r="H22" s="64" t="s">
        <v>694</v>
      </c>
      <c r="I22" s="64" t="s">
        <v>694</v>
      </c>
      <c r="J22" s="230">
        <v>304</v>
      </c>
      <c r="K22" s="230">
        <v>304</v>
      </c>
      <c r="L22" s="231">
        <f t="shared" si="3"/>
        <v>100</v>
      </c>
    </row>
    <row r="23" spans="1:12" ht="15">
      <c r="A23" s="183">
        <f>6!A23</f>
        <v>13</v>
      </c>
      <c r="B23" s="183" t="str">
        <f>6!B23</f>
        <v>Murung Raya</v>
      </c>
      <c r="C23" s="139">
        <v>37143</v>
      </c>
      <c r="D23" s="139">
        <v>23720</v>
      </c>
      <c r="E23" s="467">
        <f t="shared" si="1"/>
        <v>63.86129284118138</v>
      </c>
      <c r="F23" s="139">
        <v>12916</v>
      </c>
      <c r="G23" s="467">
        <f t="shared" si="2"/>
        <v>34.77371240879843</v>
      </c>
      <c r="H23" s="64">
        <v>135</v>
      </c>
      <c r="I23" s="467">
        <f t="shared" si="0"/>
        <v>0.36346014053792103</v>
      </c>
      <c r="J23" s="230">
        <v>386</v>
      </c>
      <c r="K23" s="230">
        <v>314</v>
      </c>
      <c r="L23" s="231">
        <f t="shared" si="3"/>
        <v>81.34715025906736</v>
      </c>
    </row>
    <row r="24" spans="1:12" ht="15">
      <c r="A24" s="183">
        <f>6!A24</f>
        <v>14</v>
      </c>
      <c r="B24" s="183" t="str">
        <f>6!B24</f>
        <v>Palangka Raya</v>
      </c>
      <c r="C24" s="139">
        <v>58475</v>
      </c>
      <c r="D24" s="139">
        <v>55707</v>
      </c>
      <c r="E24" s="467">
        <f>D24/C24*100</f>
        <v>95.26635314236853</v>
      </c>
      <c r="F24" s="139">
        <v>37350</v>
      </c>
      <c r="G24" s="467">
        <f>F24/C24*100</f>
        <v>63.87345019238991</v>
      </c>
      <c r="H24" s="64">
        <v>154</v>
      </c>
      <c r="I24" s="467">
        <f>H24/C24*100</f>
        <v>0.26336041043180847</v>
      </c>
      <c r="J24" s="230">
        <v>1433</v>
      </c>
      <c r="K24" s="230">
        <v>138</v>
      </c>
      <c r="L24" s="231">
        <f>K24/J24*100</f>
        <v>9.630146545708303</v>
      </c>
    </row>
    <row r="25" spans="1:12" ht="15">
      <c r="A25" s="232"/>
      <c r="B25" s="232"/>
      <c r="C25" s="164"/>
      <c r="D25" s="164"/>
      <c r="E25" s="158"/>
      <c r="F25" s="164"/>
      <c r="G25" s="227"/>
      <c r="H25" s="450"/>
      <c r="I25" s="451"/>
      <c r="J25" s="233"/>
      <c r="K25" s="233"/>
      <c r="L25" s="231"/>
    </row>
    <row r="26" spans="1:12" ht="19.5" customHeight="1" thickBot="1">
      <c r="A26" s="165" t="s">
        <v>859</v>
      </c>
      <c r="B26" s="238"/>
      <c r="C26" s="241">
        <f>SUM(C11:C25)</f>
        <v>801754</v>
      </c>
      <c r="D26" s="242">
        <f>SUM(D11:D25)</f>
        <v>681788</v>
      </c>
      <c r="E26" s="510">
        <f t="shared" si="1"/>
        <v>85.03705625416275</v>
      </c>
      <c r="F26" s="242">
        <f>SUM(F11:F25)</f>
        <v>376336</v>
      </c>
      <c r="G26" s="509">
        <f t="shared" si="2"/>
        <v>46.93908605382698</v>
      </c>
      <c r="H26" s="452">
        <f>SUM(H11:H25)</f>
        <v>4731</v>
      </c>
      <c r="I26" s="509">
        <f t="shared" si="0"/>
        <v>0.5900812468662457</v>
      </c>
      <c r="J26" s="242">
        <f>SUM(J11:J25)</f>
        <v>3018</v>
      </c>
      <c r="K26" s="242">
        <f>SUM(K11:K25)</f>
        <v>1626</v>
      </c>
      <c r="L26" s="160">
        <f t="shared" si="3"/>
        <v>53.87673956262425</v>
      </c>
    </row>
    <row r="27" spans="1:12" ht="15">
      <c r="A27" s="18"/>
      <c r="B27" s="9"/>
      <c r="C27" s="9"/>
      <c r="D27" s="18"/>
      <c r="E27" s="18"/>
      <c r="F27" s="18"/>
      <c r="G27" s="18"/>
      <c r="H27" s="18"/>
      <c r="I27" s="18"/>
      <c r="J27" s="18"/>
      <c r="K27" s="18"/>
      <c r="L27" s="18"/>
    </row>
    <row r="28" spans="1:11" ht="15">
      <c r="A28" s="525" t="s">
        <v>243</v>
      </c>
      <c r="G28" s="5"/>
      <c r="H28" s="5"/>
      <c r="I28" s="5"/>
      <c r="J28" s="5"/>
      <c r="K28" s="5"/>
    </row>
    <row r="29" spans="1:12" ht="15">
      <c r="A29" s="14" t="s">
        <v>968</v>
      </c>
      <c r="B29" s="14" t="s">
        <v>969</v>
      </c>
      <c r="L29" s="511"/>
    </row>
  </sheetData>
  <mergeCells count="12">
    <mergeCell ref="D8:E8"/>
    <mergeCell ref="K8:L8"/>
    <mergeCell ref="J8:J9"/>
    <mergeCell ref="A3:L3"/>
    <mergeCell ref="A4:L4"/>
    <mergeCell ref="A5:L5"/>
    <mergeCell ref="J7:L7"/>
    <mergeCell ref="A7:A9"/>
    <mergeCell ref="B7:B9"/>
    <mergeCell ref="C8:C9"/>
    <mergeCell ref="F8:I8"/>
    <mergeCell ref="C7:I7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69" r:id="rId1"/>
  <headerFooter alignWithMargins="0">
    <oddFooter>&amp;C94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E27"/>
  <sheetViews>
    <sheetView view="pageBreakPreview" zoomScale="60" zoomScaleNormal="75" workbookViewId="0" topLeftCell="A1">
      <selection activeCell="C26" sqref="C26"/>
    </sheetView>
  </sheetViews>
  <sheetFormatPr defaultColWidth="9.140625" defaultRowHeight="12.75"/>
  <cols>
    <col min="1" max="1" width="5.7109375" style="81" customWidth="1"/>
    <col min="2" max="2" width="43.8515625" style="81" customWidth="1"/>
    <col min="3" max="5" width="20.7109375" style="81" customWidth="1"/>
    <col min="6" max="16384" width="9.140625" style="81" customWidth="1"/>
  </cols>
  <sheetData>
    <row r="1" spans="1:2" ht="21" customHeight="1">
      <c r="A1" s="584" t="s">
        <v>369</v>
      </c>
      <c r="B1" s="584"/>
    </row>
    <row r="2" spans="1:5" ht="18.75" customHeight="1">
      <c r="A2" s="585" t="s">
        <v>206</v>
      </c>
      <c r="B2" s="585"/>
      <c r="C2" s="585"/>
      <c r="D2" s="585"/>
      <c r="E2" s="585"/>
    </row>
    <row r="3" spans="1:5" ht="18.75" customHeight="1">
      <c r="A3" s="642" t="str">
        <f>1!A5</f>
        <v>PROVINSI KALIMANTAN TENGAH</v>
      </c>
      <c r="B3" s="642"/>
      <c r="C3" s="642"/>
      <c r="D3" s="642"/>
      <c r="E3" s="642"/>
    </row>
    <row r="4" spans="1:5" ht="15">
      <c r="A4" s="642" t="str">
        <f>1!A6</f>
        <v>TAHUN 2009</v>
      </c>
      <c r="B4" s="642"/>
      <c r="C4" s="642"/>
      <c r="D4" s="642"/>
      <c r="E4" s="642"/>
    </row>
    <row r="5" spans="1:5" ht="15.75" thickBot="1">
      <c r="A5" s="82"/>
      <c r="B5" s="83"/>
      <c r="C5" s="83"/>
      <c r="D5" s="83"/>
      <c r="E5" s="83"/>
    </row>
    <row r="6" spans="1:5" ht="25.5" customHeight="1">
      <c r="A6" s="615" t="s">
        <v>2</v>
      </c>
      <c r="B6" s="615" t="s">
        <v>844</v>
      </c>
      <c r="C6" s="582" t="s">
        <v>207</v>
      </c>
      <c r="D6" s="586"/>
      <c r="E6" s="587"/>
    </row>
    <row r="7" spans="1:5" ht="45">
      <c r="A7" s="616"/>
      <c r="B7" s="616"/>
      <c r="C7" s="84" t="s">
        <v>208</v>
      </c>
      <c r="D7" s="52" t="s">
        <v>209</v>
      </c>
      <c r="E7" s="124" t="s">
        <v>27</v>
      </c>
    </row>
    <row r="8" spans="1:5" ht="15">
      <c r="A8" s="244">
        <v>1</v>
      </c>
      <c r="B8" s="244">
        <v>2</v>
      </c>
      <c r="C8" s="244">
        <v>4</v>
      </c>
      <c r="D8" s="244">
        <v>5</v>
      </c>
      <c r="E8" s="244">
        <v>6</v>
      </c>
    </row>
    <row r="9" spans="1:5" ht="15">
      <c r="A9" s="487">
        <f>6!A11</f>
        <v>1</v>
      </c>
      <c r="B9" s="85" t="str">
        <f>6!B11</f>
        <v>Kotawaringin Barat</v>
      </c>
      <c r="C9" s="125">
        <v>0</v>
      </c>
      <c r="D9" s="125">
        <v>0</v>
      </c>
      <c r="E9" s="126">
        <v>0</v>
      </c>
    </row>
    <row r="10" spans="1:5" ht="15">
      <c r="A10" s="487">
        <f>6!A12</f>
        <v>2</v>
      </c>
      <c r="B10" s="85" t="str">
        <f>6!B12</f>
        <v>Lamandau</v>
      </c>
      <c r="C10" s="125">
        <v>0</v>
      </c>
      <c r="D10" s="125">
        <v>0</v>
      </c>
      <c r="E10" s="126">
        <v>0</v>
      </c>
    </row>
    <row r="11" spans="1:5" ht="15">
      <c r="A11" s="487">
        <f>6!A13</f>
        <v>3</v>
      </c>
      <c r="B11" s="85" t="str">
        <f>6!B13</f>
        <v>Sukamara</v>
      </c>
      <c r="C11" s="125">
        <v>16</v>
      </c>
      <c r="D11" s="125">
        <v>0</v>
      </c>
      <c r="E11" s="126">
        <f>D11/C11*100</f>
        <v>0</v>
      </c>
    </row>
    <row r="12" spans="1:5" ht="15">
      <c r="A12" s="487">
        <f>6!A14</f>
        <v>4</v>
      </c>
      <c r="B12" s="85" t="str">
        <f>6!B14</f>
        <v>Kotawaringin Timur</v>
      </c>
      <c r="C12" s="492">
        <v>0</v>
      </c>
      <c r="D12" s="492">
        <v>0</v>
      </c>
      <c r="E12" s="493">
        <v>0</v>
      </c>
    </row>
    <row r="13" spans="1:5" ht="15">
      <c r="A13" s="487">
        <f>6!A15</f>
        <v>5</v>
      </c>
      <c r="B13" s="85" t="str">
        <f>6!B15</f>
        <v>Seruyan</v>
      </c>
      <c r="C13" s="125">
        <v>0</v>
      </c>
      <c r="D13" s="125">
        <v>0</v>
      </c>
      <c r="E13" s="126">
        <v>0</v>
      </c>
    </row>
    <row r="14" spans="1:5" ht="15">
      <c r="A14" s="487">
        <f>6!A16</f>
        <v>6</v>
      </c>
      <c r="B14" s="85" t="str">
        <f>6!B16</f>
        <v>Katingan</v>
      </c>
      <c r="C14" s="125">
        <v>0</v>
      </c>
      <c r="D14" s="125">
        <v>0</v>
      </c>
      <c r="E14" s="126">
        <v>0</v>
      </c>
    </row>
    <row r="15" spans="1:5" ht="15">
      <c r="A15" s="487">
        <f>6!A17</f>
        <v>7</v>
      </c>
      <c r="B15" s="85" t="str">
        <f>6!B17</f>
        <v>Kapuas</v>
      </c>
      <c r="C15" s="609" t="s">
        <v>694</v>
      </c>
      <c r="D15" s="609" t="s">
        <v>694</v>
      </c>
      <c r="E15" s="609" t="s">
        <v>694</v>
      </c>
    </row>
    <row r="16" spans="1:5" ht="15">
      <c r="A16" s="487">
        <f>6!A18</f>
        <v>8</v>
      </c>
      <c r="B16" s="85" t="str">
        <f>6!B18</f>
        <v>Pulang Pisau</v>
      </c>
      <c r="C16" s="125">
        <v>0</v>
      </c>
      <c r="D16" s="125">
        <v>0</v>
      </c>
      <c r="E16" s="126">
        <v>0</v>
      </c>
    </row>
    <row r="17" spans="1:5" ht="15">
      <c r="A17" s="487">
        <f>6!A19</f>
        <v>9</v>
      </c>
      <c r="B17" s="85" t="str">
        <f>6!B19</f>
        <v>Gunung Mas</v>
      </c>
      <c r="C17" s="125">
        <v>818</v>
      </c>
      <c r="D17" s="125">
        <v>818</v>
      </c>
      <c r="E17" s="126">
        <f>D17/C17*100</f>
        <v>100</v>
      </c>
    </row>
    <row r="18" spans="1:5" ht="15">
      <c r="A18" s="487">
        <f>6!A20</f>
        <v>10</v>
      </c>
      <c r="B18" s="85" t="str">
        <f>6!B20</f>
        <v>Barito Selatan</v>
      </c>
      <c r="C18" s="125">
        <v>0</v>
      </c>
      <c r="D18" s="125">
        <v>0</v>
      </c>
      <c r="E18" s="126">
        <v>0</v>
      </c>
    </row>
    <row r="19" spans="1:5" ht="15">
      <c r="A19" s="487">
        <f>6!A21</f>
        <v>11</v>
      </c>
      <c r="B19" s="85" t="str">
        <f>6!B21</f>
        <v>Barito Timur</v>
      </c>
      <c r="C19" s="125">
        <v>5407</v>
      </c>
      <c r="D19" s="125">
        <v>2535</v>
      </c>
      <c r="E19" s="126">
        <f>D19/C19*100</f>
        <v>46.88366931755132</v>
      </c>
    </row>
    <row r="20" spans="1:5" ht="15">
      <c r="A20" s="487">
        <f>6!A22</f>
        <v>12</v>
      </c>
      <c r="B20" s="85" t="str">
        <f>6!B22</f>
        <v>Barito Utara</v>
      </c>
      <c r="C20" s="125">
        <v>139</v>
      </c>
      <c r="D20" s="125">
        <v>92</v>
      </c>
      <c r="E20" s="126">
        <f>D20/C20*100</f>
        <v>66.18705035971223</v>
      </c>
    </row>
    <row r="21" spans="1:5" ht="15">
      <c r="A21" s="487">
        <f>6!A23</f>
        <v>13</v>
      </c>
      <c r="B21" s="85" t="str">
        <f>6!B23</f>
        <v>Murung Raya</v>
      </c>
      <c r="C21" s="125">
        <v>0</v>
      </c>
      <c r="D21" s="125">
        <v>0</v>
      </c>
      <c r="E21" s="126">
        <v>0</v>
      </c>
    </row>
    <row r="22" spans="1:5" ht="15">
      <c r="A22" s="487">
        <f>6!A24</f>
        <v>14</v>
      </c>
      <c r="B22" s="85" t="str">
        <f>6!B24</f>
        <v>Palangka Raya</v>
      </c>
      <c r="C22" s="125">
        <v>52391</v>
      </c>
      <c r="D22" s="125">
        <v>38352</v>
      </c>
      <c r="E22" s="126">
        <f>D22/C22*100</f>
        <v>73.20341279990839</v>
      </c>
    </row>
    <row r="23" spans="1:5" ht="15">
      <c r="A23" s="517"/>
      <c r="B23" s="129"/>
      <c r="C23" s="127"/>
      <c r="D23" s="127"/>
      <c r="E23" s="126"/>
    </row>
    <row r="24" spans="1:5" ht="19.5" customHeight="1" thickBot="1">
      <c r="A24" s="165" t="s">
        <v>859</v>
      </c>
      <c r="B24" s="37"/>
      <c r="C24" s="167">
        <f>SUM(C9:C23)</f>
        <v>58771</v>
      </c>
      <c r="D24" s="167">
        <f>SUM(D9:D23)</f>
        <v>41797</v>
      </c>
      <c r="E24" s="245">
        <f>D24/C24*100</f>
        <v>71.11840873900394</v>
      </c>
    </row>
    <row r="25" spans="1:5" ht="19.5" customHeight="1">
      <c r="A25" s="18"/>
      <c r="B25" s="18"/>
      <c r="C25" s="366"/>
      <c r="D25" s="366"/>
      <c r="E25" s="358"/>
    </row>
    <row r="26" spans="1:2" ht="14.25" customHeight="1">
      <c r="A26" s="584" t="s">
        <v>243</v>
      </c>
      <c r="B26" s="584"/>
    </row>
    <row r="27" spans="1:2" ht="15">
      <c r="A27" s="81" t="s">
        <v>966</v>
      </c>
      <c r="B27" s="755" t="s">
        <v>965</v>
      </c>
    </row>
  </sheetData>
  <mergeCells count="8">
    <mergeCell ref="A1:B1"/>
    <mergeCell ref="A6:A7"/>
    <mergeCell ref="B6:B7"/>
    <mergeCell ref="A26:B26"/>
    <mergeCell ref="A3:E3"/>
    <mergeCell ref="A4:E4"/>
    <mergeCell ref="C6:E6"/>
    <mergeCell ref="A2:E2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98" r:id="rId1"/>
  <headerFooter alignWithMargins="0">
    <oddFooter>&amp;C95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32"/>
  <sheetViews>
    <sheetView zoomScale="75" zoomScaleNormal="75" workbookViewId="0" topLeftCell="A1">
      <selection activeCell="C21" sqref="C21"/>
    </sheetView>
  </sheetViews>
  <sheetFormatPr defaultColWidth="9.140625" defaultRowHeight="12.75"/>
  <cols>
    <col min="1" max="1" width="5.7109375" style="14" customWidth="1"/>
    <col min="2" max="5" width="30.7109375" style="14" customWidth="1"/>
    <col min="6" max="16384" width="16.28125" style="14" customWidth="1"/>
  </cols>
  <sheetData>
    <row r="1" ht="15">
      <c r="A1" s="13" t="s">
        <v>282</v>
      </c>
    </row>
    <row r="3" spans="1:5" ht="15">
      <c r="A3" s="641" t="s">
        <v>182</v>
      </c>
      <c r="B3" s="641"/>
      <c r="C3" s="641"/>
      <c r="D3" s="641"/>
      <c r="E3" s="641"/>
    </row>
    <row r="4" spans="1:5" ht="15">
      <c r="A4" s="641" t="str">
        <f>1!A5</f>
        <v>PROVINSI KALIMANTAN TENGAH</v>
      </c>
      <c r="B4" s="641"/>
      <c r="C4" s="641"/>
      <c r="D4" s="641"/>
      <c r="E4" s="641"/>
    </row>
    <row r="5" spans="1:5" ht="15">
      <c r="A5" s="641" t="str">
        <f>1!A6</f>
        <v>TAHUN 2009</v>
      </c>
      <c r="B5" s="641"/>
      <c r="C5" s="641"/>
      <c r="D5" s="641"/>
      <c r="E5" s="641"/>
    </row>
    <row r="6" spans="1:5" ht="15.75" thickBot="1">
      <c r="A6" s="18"/>
      <c r="B6" s="18"/>
      <c r="C6" s="18"/>
      <c r="D6" s="18"/>
      <c r="E6" s="18"/>
    </row>
    <row r="7" spans="1:5" ht="19.5" customHeight="1">
      <c r="A7" s="634" t="s">
        <v>2</v>
      </c>
      <c r="B7" s="594" t="s">
        <v>183</v>
      </c>
      <c r="C7" s="45" t="s">
        <v>37</v>
      </c>
      <c r="D7" s="46"/>
      <c r="E7" s="74"/>
    </row>
    <row r="8" spans="1:5" ht="19.5" customHeight="1">
      <c r="A8" s="636"/>
      <c r="B8" s="582"/>
      <c r="C8" s="29" t="s">
        <v>173</v>
      </c>
      <c r="D8" s="29" t="s">
        <v>174</v>
      </c>
      <c r="E8" s="11" t="s">
        <v>295</v>
      </c>
    </row>
    <row r="9" spans="1:5" ht="15">
      <c r="A9" s="11">
        <v>1</v>
      </c>
      <c r="B9" s="29">
        <v>2</v>
      </c>
      <c r="C9" s="11">
        <v>3</v>
      </c>
      <c r="D9" s="11">
        <v>4</v>
      </c>
      <c r="E9" s="11">
        <v>5</v>
      </c>
    </row>
    <row r="10" spans="1:5" ht="15">
      <c r="A10" s="22"/>
      <c r="B10" s="25"/>
      <c r="C10" s="22"/>
      <c r="D10" s="22"/>
      <c r="E10" s="22"/>
    </row>
    <row r="11" spans="1:5" ht="15">
      <c r="A11" s="30">
        <v>1</v>
      </c>
      <c r="B11" s="22" t="s">
        <v>462</v>
      </c>
      <c r="C11" s="540">
        <f>2!D28</f>
        <v>9205</v>
      </c>
      <c r="D11" s="541">
        <f>2!K28</f>
        <v>8754</v>
      </c>
      <c r="E11" s="62">
        <f>SUM(C11:D11)</f>
        <v>17959</v>
      </c>
    </row>
    <row r="12" spans="1:6" ht="15">
      <c r="A12" s="30">
        <v>2</v>
      </c>
      <c r="B12" s="75" t="s">
        <v>463</v>
      </c>
      <c r="C12" s="62">
        <f>2!E28</f>
        <v>90195</v>
      </c>
      <c r="D12" s="541">
        <f>2!L28</f>
        <v>86739</v>
      </c>
      <c r="E12" s="62">
        <f aca="true" t="shared" si="0" ref="E12:E27">SUM(C12:D12)</f>
        <v>176934</v>
      </c>
      <c r="F12" s="469"/>
    </row>
    <row r="13" spans="1:5" ht="15">
      <c r="A13" s="30">
        <v>3</v>
      </c>
      <c r="B13" s="75" t="s">
        <v>184</v>
      </c>
      <c r="C13" s="62">
        <v>123454</v>
      </c>
      <c r="D13" s="541">
        <v>118578</v>
      </c>
      <c r="E13" s="62">
        <f t="shared" si="0"/>
        <v>242032</v>
      </c>
    </row>
    <row r="14" spans="1:5" ht="15">
      <c r="A14" s="30">
        <v>4</v>
      </c>
      <c r="B14" s="75" t="s">
        <v>185</v>
      </c>
      <c r="C14" s="62">
        <v>122093</v>
      </c>
      <c r="D14" s="541">
        <v>113009</v>
      </c>
      <c r="E14" s="62">
        <f t="shared" si="0"/>
        <v>235102</v>
      </c>
    </row>
    <row r="15" spans="1:5" ht="15">
      <c r="A15" s="30">
        <v>5</v>
      </c>
      <c r="B15" s="76" t="s">
        <v>186</v>
      </c>
      <c r="C15" s="62">
        <v>113252</v>
      </c>
      <c r="D15" s="541">
        <v>104705</v>
      </c>
      <c r="E15" s="62">
        <f t="shared" si="0"/>
        <v>217957</v>
      </c>
    </row>
    <row r="16" spans="1:5" ht="15">
      <c r="A16" s="30">
        <v>6</v>
      </c>
      <c r="B16" s="76" t="s">
        <v>187</v>
      </c>
      <c r="C16" s="62">
        <v>84213</v>
      </c>
      <c r="D16" s="541">
        <v>90538</v>
      </c>
      <c r="E16" s="62">
        <f t="shared" si="0"/>
        <v>174751</v>
      </c>
    </row>
    <row r="17" spans="1:5" ht="15">
      <c r="A17" s="30">
        <v>7</v>
      </c>
      <c r="B17" s="76" t="s">
        <v>188</v>
      </c>
      <c r="C17" s="62">
        <v>97061</v>
      </c>
      <c r="D17" s="541">
        <v>102357</v>
      </c>
      <c r="E17" s="62">
        <f t="shared" si="0"/>
        <v>199418</v>
      </c>
    </row>
    <row r="18" spans="1:5" ht="15">
      <c r="A18" s="30">
        <v>8</v>
      </c>
      <c r="B18" s="76" t="s">
        <v>189</v>
      </c>
      <c r="C18" s="62">
        <v>91907</v>
      </c>
      <c r="D18" s="541">
        <v>91814</v>
      </c>
      <c r="E18" s="62">
        <f t="shared" si="0"/>
        <v>183721</v>
      </c>
    </row>
    <row r="19" spans="1:5" ht="15">
      <c r="A19" s="30">
        <v>9</v>
      </c>
      <c r="B19" s="76" t="s">
        <v>190</v>
      </c>
      <c r="C19" s="62">
        <v>94065</v>
      </c>
      <c r="D19" s="541">
        <v>89760</v>
      </c>
      <c r="E19" s="62">
        <f t="shared" si="0"/>
        <v>183825</v>
      </c>
    </row>
    <row r="20" spans="1:5" ht="15">
      <c r="A20" s="30">
        <v>10</v>
      </c>
      <c r="B20" s="76" t="s">
        <v>191</v>
      </c>
      <c r="C20" s="62">
        <v>76390</v>
      </c>
      <c r="D20" s="541">
        <v>68084</v>
      </c>
      <c r="E20" s="62">
        <f t="shared" si="0"/>
        <v>144474</v>
      </c>
    </row>
    <row r="21" spans="1:5" ht="15">
      <c r="A21" s="30">
        <v>11</v>
      </c>
      <c r="B21" s="76" t="s">
        <v>192</v>
      </c>
      <c r="C21" s="62">
        <v>64747</v>
      </c>
      <c r="D21" s="541">
        <v>58109</v>
      </c>
      <c r="E21" s="62">
        <f t="shared" si="0"/>
        <v>122856</v>
      </c>
    </row>
    <row r="22" spans="1:5" ht="15">
      <c r="A22" s="30">
        <v>12</v>
      </c>
      <c r="B22" s="76" t="s">
        <v>256</v>
      </c>
      <c r="C22" s="62">
        <v>50835</v>
      </c>
      <c r="D22" s="541">
        <v>47211</v>
      </c>
      <c r="E22" s="62">
        <f t="shared" si="0"/>
        <v>98046</v>
      </c>
    </row>
    <row r="23" spans="1:5" ht="15">
      <c r="A23" s="30">
        <v>13</v>
      </c>
      <c r="B23" s="76" t="s">
        <v>193</v>
      </c>
      <c r="C23" s="62">
        <v>33559</v>
      </c>
      <c r="D23" s="541">
        <v>26297</v>
      </c>
      <c r="E23" s="62">
        <f t="shared" si="0"/>
        <v>59856</v>
      </c>
    </row>
    <row r="24" spans="1:5" ht="15">
      <c r="A24" s="30">
        <v>14</v>
      </c>
      <c r="B24" s="76" t="s">
        <v>194</v>
      </c>
      <c r="C24" s="62">
        <v>26360</v>
      </c>
      <c r="D24" s="541">
        <v>23550</v>
      </c>
      <c r="E24" s="62">
        <f t="shared" si="0"/>
        <v>49910</v>
      </c>
    </row>
    <row r="25" spans="1:5" ht="15">
      <c r="A25" s="30">
        <v>15</v>
      </c>
      <c r="B25" s="76" t="s">
        <v>195</v>
      </c>
      <c r="C25" s="62">
        <v>16335</v>
      </c>
      <c r="D25" s="541">
        <v>14238</v>
      </c>
      <c r="E25" s="62">
        <f t="shared" si="0"/>
        <v>30573</v>
      </c>
    </row>
    <row r="26" spans="1:5" ht="15">
      <c r="A26" s="30">
        <v>16</v>
      </c>
      <c r="B26" s="76" t="s">
        <v>196</v>
      </c>
      <c r="C26" s="62">
        <v>12266</v>
      </c>
      <c r="D26" s="541">
        <v>10002</v>
      </c>
      <c r="E26" s="62">
        <f t="shared" si="0"/>
        <v>22268</v>
      </c>
    </row>
    <row r="27" spans="1:5" ht="15">
      <c r="A27" s="30">
        <v>17</v>
      </c>
      <c r="B27" s="76" t="s">
        <v>197</v>
      </c>
      <c r="C27" s="62">
        <v>13575</v>
      </c>
      <c r="D27" s="541">
        <v>10411</v>
      </c>
      <c r="E27" s="62">
        <f t="shared" si="0"/>
        <v>23986</v>
      </c>
    </row>
    <row r="28" spans="1:5" ht="15">
      <c r="A28" s="34"/>
      <c r="B28" s="7"/>
      <c r="C28" s="77"/>
      <c r="D28" s="77"/>
      <c r="E28" s="77"/>
    </row>
    <row r="29" spans="1:5" ht="15">
      <c r="A29" s="590" t="s">
        <v>859</v>
      </c>
      <c r="B29" s="591"/>
      <c r="C29" s="617">
        <f>SUM(C11:C27)</f>
        <v>1119512</v>
      </c>
      <c r="D29" s="617">
        <f>SUM(D11:D27)</f>
        <v>1064156</v>
      </c>
      <c r="E29" s="617">
        <f>SUM(E11:E27)</f>
        <v>2183668</v>
      </c>
    </row>
    <row r="30" spans="1:5" ht="15.75" thickBot="1">
      <c r="A30" s="592"/>
      <c r="B30" s="593"/>
      <c r="C30" s="589"/>
      <c r="D30" s="589"/>
      <c r="E30" s="589"/>
    </row>
    <row r="31" spans="1:5" ht="15">
      <c r="A31" s="9"/>
      <c r="B31" s="9"/>
      <c r="C31" s="9"/>
      <c r="D31" s="18"/>
      <c r="E31" s="18"/>
    </row>
    <row r="32" ht="15">
      <c r="A32" s="525" t="s">
        <v>951</v>
      </c>
    </row>
  </sheetData>
  <mergeCells count="9">
    <mergeCell ref="A3:E3"/>
    <mergeCell ref="A4:E4"/>
    <mergeCell ref="A5:E5"/>
    <mergeCell ref="E29:E30"/>
    <mergeCell ref="A29:B30"/>
    <mergeCell ref="C29:C30"/>
    <mergeCell ref="D29:D30"/>
    <mergeCell ref="A7:A8"/>
    <mergeCell ref="B7:B8"/>
  </mergeCells>
  <printOptions horizontalCentered="1"/>
  <pageMargins left="1.6929133858267718" right="0.9055118110236221" top="0.9055118110236221" bottom="1.1811023622047245" header="0" footer="0.9055118110236221"/>
  <pageSetup fitToHeight="1" fitToWidth="1" horizontalDpi="300" verticalDpi="300" orientation="landscape" paperSize="9" scale="92" r:id="rId1"/>
  <headerFooter alignWithMargins="0">
    <oddFooter>&amp;C60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L29"/>
  <sheetViews>
    <sheetView zoomScale="75" zoomScaleNormal="75" workbookViewId="0" topLeftCell="A1">
      <selection activeCell="L16" sqref="L16"/>
    </sheetView>
  </sheetViews>
  <sheetFormatPr defaultColWidth="9.140625" defaultRowHeight="12.75"/>
  <cols>
    <col min="1" max="1" width="5.7109375" style="14" customWidth="1"/>
    <col min="2" max="2" width="21.7109375" style="14" customWidth="1"/>
    <col min="3" max="3" width="11.8515625" style="14" customWidth="1"/>
    <col min="4" max="4" width="10.7109375" style="14" customWidth="1"/>
    <col min="5" max="5" width="12.00390625" style="14" customWidth="1"/>
    <col min="6" max="8" width="10.7109375" style="14" customWidth="1"/>
    <col min="9" max="9" width="11.8515625" style="14" customWidth="1"/>
    <col min="10" max="10" width="10.7109375" style="14" customWidth="1"/>
    <col min="11" max="11" width="12.57421875" style="14" customWidth="1"/>
    <col min="12" max="16384" width="9.140625" style="14" customWidth="1"/>
  </cols>
  <sheetData>
    <row r="1" ht="15">
      <c r="A1" s="13" t="s">
        <v>294</v>
      </c>
    </row>
    <row r="3" spans="1:11" ht="15">
      <c r="A3" s="641" t="s">
        <v>376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</row>
    <row r="4" spans="1:11" ht="15">
      <c r="A4" s="641" t="str">
        <f>1!A5</f>
        <v>PROVINSI KALIMANTAN TENGAH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</row>
    <row r="5" spans="1:11" ht="15">
      <c r="A5" s="641" t="str">
        <f>1!A6</f>
        <v>TAHUN 2009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</row>
    <row r="6" spans="1:11" ht="15.75" thickBot="1">
      <c r="A6" s="18"/>
      <c r="I6" s="18"/>
      <c r="J6" s="18"/>
      <c r="K6" s="18"/>
    </row>
    <row r="7" spans="1:11" ht="12.75" customHeight="1">
      <c r="A7" s="634" t="s">
        <v>2</v>
      </c>
      <c r="B7" s="637" t="s">
        <v>844</v>
      </c>
      <c r="C7" s="655" t="s">
        <v>377</v>
      </c>
      <c r="D7" s="689"/>
      <c r="E7" s="690"/>
      <c r="F7" s="655" t="s">
        <v>378</v>
      </c>
      <c r="G7" s="689"/>
      <c r="H7" s="690"/>
      <c r="I7" s="655" t="s">
        <v>379</v>
      </c>
      <c r="J7" s="689"/>
      <c r="K7" s="690"/>
    </row>
    <row r="8" spans="1:11" ht="15">
      <c r="A8" s="635"/>
      <c r="B8" s="638"/>
      <c r="C8" s="675"/>
      <c r="D8" s="691"/>
      <c r="E8" s="692"/>
      <c r="F8" s="675"/>
      <c r="G8" s="691"/>
      <c r="H8" s="692"/>
      <c r="I8" s="675"/>
      <c r="J8" s="691"/>
      <c r="K8" s="692"/>
    </row>
    <row r="9" spans="1:11" ht="28.5">
      <c r="A9" s="636"/>
      <c r="B9" s="639"/>
      <c r="C9" s="27" t="s">
        <v>21</v>
      </c>
      <c r="D9" s="105" t="s">
        <v>353</v>
      </c>
      <c r="E9" s="59" t="s">
        <v>27</v>
      </c>
      <c r="F9" s="27" t="s">
        <v>21</v>
      </c>
      <c r="G9" s="105" t="s">
        <v>353</v>
      </c>
      <c r="H9" s="59" t="s">
        <v>27</v>
      </c>
      <c r="I9" s="27" t="s">
        <v>21</v>
      </c>
      <c r="J9" s="105" t="s">
        <v>353</v>
      </c>
      <c r="K9" s="59" t="s">
        <v>27</v>
      </c>
    </row>
    <row r="10" spans="1:11" ht="15">
      <c r="A10" s="59">
        <v>1</v>
      </c>
      <c r="B10" s="11">
        <v>2</v>
      </c>
      <c r="C10" s="11">
        <v>4</v>
      </c>
      <c r="D10" s="11">
        <v>5</v>
      </c>
      <c r="E10" s="11">
        <v>6</v>
      </c>
      <c r="F10" s="11">
        <v>7</v>
      </c>
      <c r="G10" s="11">
        <v>8</v>
      </c>
      <c r="H10" s="11">
        <v>9</v>
      </c>
      <c r="I10" s="11">
        <v>10</v>
      </c>
      <c r="J10" s="11">
        <v>11</v>
      </c>
      <c r="K10" s="11">
        <v>12</v>
      </c>
    </row>
    <row r="11" spans="1:11" ht="15">
      <c r="A11" s="142">
        <f>6!A11</f>
        <v>1</v>
      </c>
      <c r="B11" s="30" t="str">
        <f>6!B11</f>
        <v>Kotawaringin Barat</v>
      </c>
      <c r="C11" s="31">
        <v>16247</v>
      </c>
      <c r="D11" s="31">
        <v>3317</v>
      </c>
      <c r="E11" s="198">
        <f>D11/C11*100</f>
        <v>20.416076814181082</v>
      </c>
      <c r="F11" s="31">
        <v>7683</v>
      </c>
      <c r="G11" s="31">
        <v>2076</v>
      </c>
      <c r="H11" s="198">
        <f>G11/F11*100</f>
        <v>27.02069504099961</v>
      </c>
      <c r="I11" s="139">
        <f>C11+F11</f>
        <v>23930</v>
      </c>
      <c r="J11" s="139">
        <f>D11+G11</f>
        <v>5393</v>
      </c>
      <c r="K11" s="198">
        <f>J11/I11*100</f>
        <v>22.536564981195152</v>
      </c>
    </row>
    <row r="12" spans="1:11" ht="15">
      <c r="A12" s="138">
        <f>6!A12</f>
        <v>2</v>
      </c>
      <c r="B12" s="30" t="str">
        <f>6!B12</f>
        <v>Lamandau</v>
      </c>
      <c r="C12" s="139">
        <v>2671</v>
      </c>
      <c r="D12" s="139">
        <v>204</v>
      </c>
      <c r="E12" s="141">
        <f>D12/C12*100</f>
        <v>7.637588918008237</v>
      </c>
      <c r="F12" s="139">
        <v>1629</v>
      </c>
      <c r="G12" s="139">
        <v>133</v>
      </c>
      <c r="H12" s="141">
        <f aca="true" t="shared" si="0" ref="H12:H26">G12/F12*100</f>
        <v>8.16451810926949</v>
      </c>
      <c r="I12" s="139">
        <f aca="true" t="shared" si="1" ref="I12:I26">C12+F12</f>
        <v>4300</v>
      </c>
      <c r="J12" s="139">
        <f aca="true" t="shared" si="2" ref="J12:J26">D12+G12</f>
        <v>337</v>
      </c>
      <c r="K12" s="141">
        <f aca="true" t="shared" si="3" ref="K12:K26">J12/I12*100</f>
        <v>7.837209302325582</v>
      </c>
    </row>
    <row r="13" spans="1:11" ht="15">
      <c r="A13" s="138">
        <f>6!A13</f>
        <v>3</v>
      </c>
      <c r="B13" s="30" t="str">
        <f>6!B13</f>
        <v>Sukamara</v>
      </c>
      <c r="C13" s="139">
        <v>1595</v>
      </c>
      <c r="D13" s="139">
        <v>3228</v>
      </c>
      <c r="E13" s="141">
        <f aca="true" t="shared" si="4" ref="E13:E26">D13/C13*100</f>
        <v>202.38244514106586</v>
      </c>
      <c r="F13" s="139">
        <v>936</v>
      </c>
      <c r="G13" s="139">
        <v>1532</v>
      </c>
      <c r="H13" s="141">
        <f t="shared" si="0"/>
        <v>163.67521367521368</v>
      </c>
      <c r="I13" s="139">
        <f t="shared" si="1"/>
        <v>2531</v>
      </c>
      <c r="J13" s="139">
        <f t="shared" si="2"/>
        <v>4760</v>
      </c>
      <c r="K13" s="141">
        <f t="shared" si="3"/>
        <v>188.0679573291189</v>
      </c>
    </row>
    <row r="14" spans="1:11" ht="15">
      <c r="A14" s="138">
        <f>6!A14</f>
        <v>4</v>
      </c>
      <c r="B14" s="30" t="str">
        <f>6!B14</f>
        <v>Kotawaringin Timur</v>
      </c>
      <c r="C14" s="31">
        <v>23792</v>
      </c>
      <c r="D14" s="31">
        <v>1344</v>
      </c>
      <c r="E14" s="198">
        <f t="shared" si="4"/>
        <v>5.648957632817754</v>
      </c>
      <c r="F14" s="31">
        <v>10767</v>
      </c>
      <c r="G14" s="31">
        <v>828</v>
      </c>
      <c r="H14" s="198">
        <f t="shared" si="0"/>
        <v>7.690164391195318</v>
      </c>
      <c r="I14" s="139">
        <f t="shared" si="1"/>
        <v>34559</v>
      </c>
      <c r="J14" s="139">
        <f t="shared" si="2"/>
        <v>2172</v>
      </c>
      <c r="K14" s="198">
        <f t="shared" si="3"/>
        <v>6.284904077085564</v>
      </c>
    </row>
    <row r="15" spans="1:11" ht="15">
      <c r="A15" s="138">
        <f>6!A15</f>
        <v>5</v>
      </c>
      <c r="B15" s="30" t="str">
        <f>6!B15</f>
        <v>Seruyan</v>
      </c>
      <c r="C15" s="139">
        <v>0</v>
      </c>
      <c r="D15" s="139">
        <v>365</v>
      </c>
      <c r="E15" s="141">
        <v>0</v>
      </c>
      <c r="F15" s="139">
        <v>0</v>
      </c>
      <c r="G15" s="139">
        <v>408</v>
      </c>
      <c r="H15" s="141">
        <v>0</v>
      </c>
      <c r="I15" s="139">
        <f t="shared" si="1"/>
        <v>0</v>
      </c>
      <c r="J15" s="139">
        <f t="shared" si="2"/>
        <v>773</v>
      </c>
      <c r="K15" s="198">
        <v>0</v>
      </c>
    </row>
    <row r="16" spans="1:12" ht="15">
      <c r="A16" s="138">
        <f>6!A16</f>
        <v>6</v>
      </c>
      <c r="B16" s="30" t="str">
        <f>6!B16</f>
        <v>Katingan</v>
      </c>
      <c r="C16" s="31">
        <v>0</v>
      </c>
      <c r="D16" s="31">
        <v>0</v>
      </c>
      <c r="E16" s="198">
        <v>0</v>
      </c>
      <c r="F16" s="31">
        <v>0</v>
      </c>
      <c r="G16" s="31">
        <v>0</v>
      </c>
      <c r="H16" s="198">
        <v>0</v>
      </c>
      <c r="I16" s="139">
        <f t="shared" si="1"/>
        <v>0</v>
      </c>
      <c r="J16" s="139">
        <f t="shared" si="2"/>
        <v>0</v>
      </c>
      <c r="K16" s="198">
        <v>0</v>
      </c>
      <c r="L16" s="5"/>
    </row>
    <row r="17" spans="1:11" ht="15">
      <c r="A17" s="138">
        <f>6!A17</f>
        <v>7</v>
      </c>
      <c r="B17" s="30" t="str">
        <f>6!B17</f>
        <v>Kapuas</v>
      </c>
      <c r="C17" s="31">
        <v>24521</v>
      </c>
      <c r="D17" s="31">
        <v>12583</v>
      </c>
      <c r="E17" s="198">
        <f t="shared" si="4"/>
        <v>51.31519921699768</v>
      </c>
      <c r="F17" s="31">
        <v>8993</v>
      </c>
      <c r="G17" s="31">
        <v>4903</v>
      </c>
      <c r="H17" s="198">
        <f t="shared" si="0"/>
        <v>54.52018236406093</v>
      </c>
      <c r="I17" s="139">
        <f t="shared" si="1"/>
        <v>33514</v>
      </c>
      <c r="J17" s="139">
        <f t="shared" si="2"/>
        <v>17486</v>
      </c>
      <c r="K17" s="198">
        <f t="shared" si="3"/>
        <v>52.17521035984961</v>
      </c>
    </row>
    <row r="18" spans="1:11" ht="15">
      <c r="A18" s="138">
        <f>6!A18</f>
        <v>8</v>
      </c>
      <c r="B18" s="30" t="str">
        <f>6!B18</f>
        <v>Pulang Pisau</v>
      </c>
      <c r="C18" s="31">
        <v>16343</v>
      </c>
      <c r="D18" s="31">
        <v>130</v>
      </c>
      <c r="E18" s="198">
        <f t="shared" si="4"/>
        <v>0.7954475922413267</v>
      </c>
      <c r="F18" s="31">
        <v>2929</v>
      </c>
      <c r="G18" s="31">
        <v>27</v>
      </c>
      <c r="H18" s="198">
        <f t="shared" si="0"/>
        <v>0.9218163195629908</v>
      </c>
      <c r="I18" s="139">
        <f t="shared" si="1"/>
        <v>19272</v>
      </c>
      <c r="J18" s="139">
        <f t="shared" si="2"/>
        <v>157</v>
      </c>
      <c r="K18" s="198">
        <f t="shared" si="3"/>
        <v>0.8146533831465339</v>
      </c>
    </row>
    <row r="19" spans="1:11" ht="15">
      <c r="A19" s="138">
        <f>6!A19</f>
        <v>9</v>
      </c>
      <c r="B19" s="30" t="str">
        <f>6!B19</f>
        <v>Gunung Mas</v>
      </c>
      <c r="C19" s="31">
        <v>418</v>
      </c>
      <c r="D19" s="31">
        <v>309</v>
      </c>
      <c r="E19" s="198">
        <f t="shared" si="4"/>
        <v>73.92344497607655</v>
      </c>
      <c r="F19" s="31">
        <v>192</v>
      </c>
      <c r="G19" s="31">
        <v>142</v>
      </c>
      <c r="H19" s="198">
        <f t="shared" si="0"/>
        <v>73.95833333333334</v>
      </c>
      <c r="I19" s="139">
        <f t="shared" si="1"/>
        <v>610</v>
      </c>
      <c r="J19" s="139">
        <f t="shared" si="2"/>
        <v>451</v>
      </c>
      <c r="K19" s="198">
        <f t="shared" si="3"/>
        <v>73.9344262295082</v>
      </c>
    </row>
    <row r="20" spans="1:11" ht="15">
      <c r="A20" s="138">
        <f>6!A20</f>
        <v>10</v>
      </c>
      <c r="B20" s="30" t="str">
        <f>6!B20</f>
        <v>Barito Selatan</v>
      </c>
      <c r="C20" s="31">
        <v>4303</v>
      </c>
      <c r="D20" s="31">
        <v>4303</v>
      </c>
      <c r="E20" s="198">
        <f t="shared" si="4"/>
        <v>100</v>
      </c>
      <c r="F20" s="31">
        <v>2284</v>
      </c>
      <c r="G20" s="31">
        <v>2284</v>
      </c>
      <c r="H20" s="198">
        <f t="shared" si="0"/>
        <v>100</v>
      </c>
      <c r="I20" s="139">
        <f t="shared" si="1"/>
        <v>6587</v>
      </c>
      <c r="J20" s="139">
        <f t="shared" si="2"/>
        <v>6587</v>
      </c>
      <c r="K20" s="198">
        <f t="shared" si="3"/>
        <v>100</v>
      </c>
    </row>
    <row r="21" spans="1:11" ht="15">
      <c r="A21" s="138">
        <f>6!A21</f>
        <v>11</v>
      </c>
      <c r="B21" s="30" t="str">
        <f>6!B21</f>
        <v>Barito Timur</v>
      </c>
      <c r="C21" s="31">
        <v>4429</v>
      </c>
      <c r="D21" s="31">
        <v>4429</v>
      </c>
      <c r="E21" s="198">
        <f t="shared" si="4"/>
        <v>100</v>
      </c>
      <c r="F21" s="31">
        <v>2045</v>
      </c>
      <c r="G21" s="31">
        <v>2045</v>
      </c>
      <c r="H21" s="198">
        <f t="shared" si="0"/>
        <v>100</v>
      </c>
      <c r="I21" s="139">
        <f t="shared" si="1"/>
        <v>6474</v>
      </c>
      <c r="J21" s="139">
        <f t="shared" si="2"/>
        <v>6474</v>
      </c>
      <c r="K21" s="198">
        <f t="shared" si="3"/>
        <v>100</v>
      </c>
    </row>
    <row r="22" spans="1:11" ht="15">
      <c r="A22" s="138">
        <f>6!A22</f>
        <v>12</v>
      </c>
      <c r="B22" s="30" t="str">
        <f>6!B22</f>
        <v>Barito Utara</v>
      </c>
      <c r="C22" s="31">
        <v>23448</v>
      </c>
      <c r="D22" s="31">
        <v>6042</v>
      </c>
      <c r="E22" s="198">
        <f t="shared" si="4"/>
        <v>25.76765609007165</v>
      </c>
      <c r="F22" s="31">
        <v>5772</v>
      </c>
      <c r="G22" s="31">
        <v>5372</v>
      </c>
      <c r="H22" s="198">
        <f t="shared" si="0"/>
        <v>93.06999306999307</v>
      </c>
      <c r="I22" s="139">
        <v>18152</v>
      </c>
      <c r="J22" s="139">
        <f t="shared" si="2"/>
        <v>11414</v>
      </c>
      <c r="K22" s="198">
        <f t="shared" si="3"/>
        <v>62.88012340237991</v>
      </c>
    </row>
    <row r="23" spans="1:11" ht="15">
      <c r="A23" s="138">
        <f>6!A23</f>
        <v>13</v>
      </c>
      <c r="B23" s="30" t="str">
        <f>6!B23</f>
        <v>Murung Raya</v>
      </c>
      <c r="C23" s="31">
        <v>4343</v>
      </c>
      <c r="D23" s="31">
        <v>2440</v>
      </c>
      <c r="E23" s="198">
        <f t="shared" si="4"/>
        <v>56.18236242228875</v>
      </c>
      <c r="F23" s="31">
        <v>2743</v>
      </c>
      <c r="G23" s="31">
        <v>1521</v>
      </c>
      <c r="H23" s="198">
        <f t="shared" si="0"/>
        <v>55.45023696682464</v>
      </c>
      <c r="I23" s="139">
        <f t="shared" si="1"/>
        <v>7086</v>
      </c>
      <c r="J23" s="139">
        <f t="shared" si="2"/>
        <v>3961</v>
      </c>
      <c r="K23" s="198">
        <f t="shared" si="3"/>
        <v>55.89895568727068</v>
      </c>
    </row>
    <row r="24" spans="1:11" ht="15">
      <c r="A24" s="138">
        <f>6!A24</f>
        <v>14</v>
      </c>
      <c r="B24" s="30" t="str">
        <f>6!B24</f>
        <v>Palangka Raya</v>
      </c>
      <c r="C24" s="31">
        <v>18958</v>
      </c>
      <c r="D24" s="31">
        <v>7883</v>
      </c>
      <c r="E24" s="198">
        <f t="shared" si="4"/>
        <v>41.58139044202975</v>
      </c>
      <c r="F24" s="31">
        <v>9477</v>
      </c>
      <c r="G24" s="31">
        <v>4472</v>
      </c>
      <c r="H24" s="198">
        <f t="shared" si="0"/>
        <v>47.18792866941015</v>
      </c>
      <c r="I24" s="139">
        <f t="shared" si="1"/>
        <v>28435</v>
      </c>
      <c r="J24" s="139">
        <f t="shared" si="2"/>
        <v>12355</v>
      </c>
      <c r="K24" s="198">
        <f t="shared" si="3"/>
        <v>43.44997362405486</v>
      </c>
    </row>
    <row r="25" spans="1:11" ht="15">
      <c r="A25" s="35"/>
      <c r="B25" s="33"/>
      <c r="C25" s="186"/>
      <c r="D25" s="186"/>
      <c r="E25" s="198"/>
      <c r="F25" s="186"/>
      <c r="G25" s="186"/>
      <c r="H25" s="198"/>
      <c r="I25" s="139"/>
      <c r="J25" s="139"/>
      <c r="K25" s="198"/>
    </row>
    <row r="26" spans="1:11" ht="15.75" thickBot="1">
      <c r="A26" s="165" t="s">
        <v>859</v>
      </c>
      <c r="B26" s="70"/>
      <c r="C26" s="246">
        <f>SUM(C11:C25)</f>
        <v>141068</v>
      </c>
      <c r="D26" s="246">
        <f>SUM(D11:D25)</f>
        <v>46577</v>
      </c>
      <c r="E26" s="200">
        <f t="shared" si="4"/>
        <v>33.017410043383336</v>
      </c>
      <c r="F26" s="246">
        <f>SUM(F11:F25)</f>
        <v>55450</v>
      </c>
      <c r="G26" s="246">
        <f>SUM(G11:G25)</f>
        <v>25743</v>
      </c>
      <c r="H26" s="200">
        <f t="shared" si="0"/>
        <v>46.425608656447245</v>
      </c>
      <c r="I26" s="167">
        <f t="shared" si="1"/>
        <v>196518</v>
      </c>
      <c r="J26" s="167">
        <f t="shared" si="2"/>
        <v>72320</v>
      </c>
      <c r="K26" s="200">
        <f t="shared" si="3"/>
        <v>36.80070019031336</v>
      </c>
    </row>
    <row r="27" spans="1:11" ht="15">
      <c r="A27" s="9"/>
      <c r="B27" s="9"/>
      <c r="C27" s="9"/>
      <c r="D27" s="9"/>
      <c r="E27" s="9"/>
      <c r="F27" s="9"/>
      <c r="G27" s="9"/>
      <c r="H27" s="9"/>
      <c r="I27" s="18"/>
      <c r="J27" s="18"/>
      <c r="K27" s="18"/>
    </row>
    <row r="28" ht="15">
      <c r="A28" s="525" t="s">
        <v>243</v>
      </c>
    </row>
    <row r="29" ht="15">
      <c r="K29" s="511"/>
    </row>
  </sheetData>
  <mergeCells count="8">
    <mergeCell ref="A3:K3"/>
    <mergeCell ref="A4:K4"/>
    <mergeCell ref="A5:K5"/>
    <mergeCell ref="I7:K8"/>
    <mergeCell ref="A7:A9"/>
    <mergeCell ref="B7:B9"/>
    <mergeCell ref="F7:H8"/>
    <mergeCell ref="C7:E8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91" r:id="rId1"/>
  <headerFooter alignWithMargins="0">
    <oddFooter>&amp;C96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F28"/>
  <sheetViews>
    <sheetView zoomScale="75" zoomScaleNormal="75" workbookViewId="0" topLeftCell="A1">
      <selection activeCell="C25" sqref="C25"/>
    </sheetView>
  </sheetViews>
  <sheetFormatPr defaultColWidth="9.140625" defaultRowHeight="12.75"/>
  <cols>
    <col min="1" max="1" width="5.7109375" style="14" customWidth="1"/>
    <col min="2" max="2" width="25.7109375" style="14" customWidth="1"/>
    <col min="3" max="6" width="20.7109375" style="14" customWidth="1"/>
    <col min="7" max="16384" width="9.140625" style="14" customWidth="1"/>
  </cols>
  <sheetData>
    <row r="1" ht="15">
      <c r="A1" s="13" t="s">
        <v>370</v>
      </c>
    </row>
    <row r="3" spans="1:6" ht="15">
      <c r="A3" s="641" t="s">
        <v>380</v>
      </c>
      <c r="B3" s="641"/>
      <c r="C3" s="641"/>
      <c r="D3" s="641"/>
      <c r="E3" s="641"/>
      <c r="F3" s="641"/>
    </row>
    <row r="4" spans="1:6" ht="15">
      <c r="A4" s="641" t="str">
        <f>1!A5</f>
        <v>PROVINSI KALIMANTAN TENGAH</v>
      </c>
      <c r="B4" s="641"/>
      <c r="C4" s="641"/>
      <c r="D4" s="641"/>
      <c r="E4" s="641"/>
      <c r="F4" s="641"/>
    </row>
    <row r="5" spans="1:6" ht="15">
      <c r="A5" s="641" t="str">
        <f>1!A6</f>
        <v>TAHUN 2009</v>
      </c>
      <c r="B5" s="641"/>
      <c r="C5" s="641"/>
      <c r="D5" s="641"/>
      <c r="E5" s="641"/>
      <c r="F5" s="641"/>
    </row>
    <row r="6" ht="15.75" thickBot="1">
      <c r="A6" s="106"/>
    </row>
    <row r="7" spans="1:6" ht="19.5" customHeight="1">
      <c r="A7" s="637" t="s">
        <v>2</v>
      </c>
      <c r="B7" s="637" t="s">
        <v>844</v>
      </c>
      <c r="C7" s="547" t="s">
        <v>381</v>
      </c>
      <c r="D7" s="93" t="s">
        <v>456</v>
      </c>
      <c r="E7" s="96"/>
      <c r="F7" s="96"/>
    </row>
    <row r="8" spans="1:6" ht="39.75" customHeight="1">
      <c r="A8" s="639"/>
      <c r="B8" s="639"/>
      <c r="C8" s="560"/>
      <c r="D8" s="59" t="s">
        <v>382</v>
      </c>
      <c r="E8" s="162" t="s">
        <v>383</v>
      </c>
      <c r="F8" s="136" t="s">
        <v>384</v>
      </c>
    </row>
    <row r="9" spans="1:6" ht="15">
      <c r="A9" s="59">
        <v>1</v>
      </c>
      <c r="B9" s="59">
        <v>2</v>
      </c>
      <c r="C9" s="59">
        <v>4</v>
      </c>
      <c r="D9" s="59">
        <v>5</v>
      </c>
      <c r="E9" s="59">
        <v>6</v>
      </c>
      <c r="F9" s="59">
        <v>7</v>
      </c>
    </row>
    <row r="10" spans="1:6" ht="15">
      <c r="A10" s="138">
        <f>6!A11</f>
        <v>1</v>
      </c>
      <c r="B10" s="138" t="str">
        <f>6!B11</f>
        <v>Kotawaringin Barat</v>
      </c>
      <c r="C10" s="139">
        <v>0</v>
      </c>
      <c r="D10" s="139">
        <v>0</v>
      </c>
      <c r="E10" s="139">
        <v>0</v>
      </c>
      <c r="F10" s="141">
        <v>0</v>
      </c>
    </row>
    <row r="11" spans="1:6" ht="15">
      <c r="A11" s="138">
        <f>6!A12</f>
        <v>2</v>
      </c>
      <c r="B11" s="138" t="str">
        <f>6!B12</f>
        <v>Lamandau</v>
      </c>
      <c r="C11" s="139">
        <v>0</v>
      </c>
      <c r="D11" s="139">
        <v>0</v>
      </c>
      <c r="E11" s="139">
        <v>0</v>
      </c>
      <c r="F11" s="141">
        <v>0</v>
      </c>
    </row>
    <row r="12" spans="1:6" ht="15">
      <c r="A12" s="138">
        <f>6!A13</f>
        <v>3</v>
      </c>
      <c r="B12" s="138" t="str">
        <f>6!B13</f>
        <v>Sukamara</v>
      </c>
      <c r="C12" s="139">
        <v>0</v>
      </c>
      <c r="D12" s="139">
        <v>9874</v>
      </c>
      <c r="E12" s="139">
        <v>0</v>
      </c>
      <c r="F12" s="141">
        <f>E12/D12*100</f>
        <v>0</v>
      </c>
    </row>
    <row r="13" spans="1:6" ht="15">
      <c r="A13" s="138">
        <f>6!A14</f>
        <v>4</v>
      </c>
      <c r="B13" s="138" t="str">
        <f>6!B14</f>
        <v>Kotawaringin Timur</v>
      </c>
      <c r="C13" s="139">
        <v>24</v>
      </c>
      <c r="D13" s="139">
        <v>89603</v>
      </c>
      <c r="E13" s="139">
        <v>22845</v>
      </c>
      <c r="F13" s="141">
        <f>E13/D13*100</f>
        <v>25.495798131758978</v>
      </c>
    </row>
    <row r="14" spans="1:6" ht="15">
      <c r="A14" s="138">
        <f>6!A15</f>
        <v>5</v>
      </c>
      <c r="B14" s="138" t="str">
        <f>6!B15</f>
        <v>Seruyan</v>
      </c>
      <c r="C14" s="139">
        <v>0</v>
      </c>
      <c r="D14" s="139">
        <v>0</v>
      </c>
      <c r="E14" s="139">
        <v>0</v>
      </c>
      <c r="F14" s="141">
        <v>0</v>
      </c>
    </row>
    <row r="15" spans="1:6" ht="15">
      <c r="A15" s="138">
        <f>6!A16</f>
        <v>6</v>
      </c>
      <c r="B15" s="138" t="str">
        <f>6!B16</f>
        <v>Katingan</v>
      </c>
      <c r="C15" s="139">
        <v>0</v>
      </c>
      <c r="D15" s="139">
        <v>0</v>
      </c>
      <c r="E15" s="139">
        <v>0</v>
      </c>
      <c r="F15" s="141">
        <v>0</v>
      </c>
    </row>
    <row r="16" spans="1:6" ht="15">
      <c r="A16" s="138">
        <f>6!A17</f>
        <v>7</v>
      </c>
      <c r="B16" s="138" t="str">
        <f>6!B17</f>
        <v>Kapuas</v>
      </c>
      <c r="C16" s="139">
        <v>0</v>
      </c>
      <c r="D16" s="139">
        <v>0</v>
      </c>
      <c r="E16" s="139">
        <v>0</v>
      </c>
      <c r="F16" s="141">
        <v>0</v>
      </c>
    </row>
    <row r="17" spans="1:6" ht="15">
      <c r="A17" s="138">
        <f>6!A18</f>
        <v>8</v>
      </c>
      <c r="B17" s="138" t="str">
        <f>6!B18</f>
        <v>Pulang Pisau</v>
      </c>
      <c r="C17" s="139">
        <v>0</v>
      </c>
      <c r="D17" s="139">
        <v>0</v>
      </c>
      <c r="E17" s="139">
        <v>0</v>
      </c>
      <c r="F17" s="141">
        <v>0</v>
      </c>
    </row>
    <row r="18" spans="1:6" ht="15">
      <c r="A18" s="138">
        <f>6!A19</f>
        <v>9</v>
      </c>
      <c r="B18" s="138" t="str">
        <f>6!B19</f>
        <v>Gunung Mas</v>
      </c>
      <c r="C18" s="139">
        <v>0</v>
      </c>
      <c r="D18" s="139">
        <v>0</v>
      </c>
      <c r="E18" s="139">
        <v>0</v>
      </c>
      <c r="F18" s="141">
        <v>0</v>
      </c>
    </row>
    <row r="19" spans="1:6" ht="15">
      <c r="A19" s="138">
        <f>6!A20</f>
        <v>10</v>
      </c>
      <c r="B19" s="138" t="str">
        <f>6!B20</f>
        <v>Barito Selatan</v>
      </c>
      <c r="C19" s="139">
        <v>0</v>
      </c>
      <c r="D19" s="139">
        <v>0</v>
      </c>
      <c r="E19" s="139">
        <v>0</v>
      </c>
      <c r="F19" s="141">
        <v>0</v>
      </c>
    </row>
    <row r="20" spans="1:6" ht="15">
      <c r="A20" s="138">
        <f>6!A21</f>
        <v>11</v>
      </c>
      <c r="B20" s="138" t="str">
        <f>6!B21</f>
        <v>Barito Timur</v>
      </c>
      <c r="C20" s="139">
        <v>0</v>
      </c>
      <c r="D20" s="139">
        <v>0</v>
      </c>
      <c r="E20" s="139">
        <v>0</v>
      </c>
      <c r="F20" s="141">
        <v>0</v>
      </c>
    </row>
    <row r="21" spans="1:6" ht="15">
      <c r="A21" s="138">
        <f>6!A22</f>
        <v>12</v>
      </c>
      <c r="B21" s="138" t="str">
        <f>6!B22</f>
        <v>Barito Utara</v>
      </c>
      <c r="C21" s="139">
        <v>103</v>
      </c>
      <c r="D21" s="139">
        <v>31131</v>
      </c>
      <c r="E21" s="139">
        <v>136</v>
      </c>
      <c r="F21" s="141">
        <f>E21/D21*100</f>
        <v>0.4368635764993094</v>
      </c>
    </row>
    <row r="22" spans="1:6" ht="15">
      <c r="A22" s="138">
        <f>6!A23</f>
        <v>13</v>
      </c>
      <c r="B22" s="138" t="str">
        <f>6!B23</f>
        <v>Murung Raya</v>
      </c>
      <c r="C22" s="139">
        <v>0</v>
      </c>
      <c r="D22" s="139">
        <v>0</v>
      </c>
      <c r="E22" s="139">
        <v>0</v>
      </c>
      <c r="F22" s="141">
        <v>0</v>
      </c>
    </row>
    <row r="23" spans="1:6" ht="15">
      <c r="A23" s="138">
        <f>6!A24</f>
        <v>14</v>
      </c>
      <c r="B23" s="138" t="str">
        <f>6!B24</f>
        <v>Palangka Raya</v>
      </c>
      <c r="C23" s="139">
        <v>0</v>
      </c>
      <c r="D23" s="139">
        <v>0</v>
      </c>
      <c r="E23" s="139">
        <v>0</v>
      </c>
      <c r="F23" s="141">
        <v>0</v>
      </c>
    </row>
    <row r="24" spans="1:6" ht="15">
      <c r="A24" s="138"/>
      <c r="B24" s="138"/>
      <c r="C24" s="139"/>
      <c r="D24" s="139"/>
      <c r="E24" s="139"/>
      <c r="F24" s="141"/>
    </row>
    <row r="25" spans="1:6" ht="19.5" customHeight="1" thickBot="1">
      <c r="A25" s="165" t="s">
        <v>859</v>
      </c>
      <c r="B25" s="175"/>
      <c r="C25" s="247">
        <f>SUM(C10:C24)</f>
        <v>127</v>
      </c>
      <c r="D25" s="167">
        <f>SUM(D10:D24)</f>
        <v>130608</v>
      </c>
      <c r="E25" s="166">
        <f>SUM(E10:E24)</f>
        <v>22981</v>
      </c>
      <c r="F25" s="160">
        <f>E25/D25*100</f>
        <v>17.595399975499205</v>
      </c>
    </row>
    <row r="26" spans="1:6" ht="15">
      <c r="A26" s="73"/>
      <c r="B26" s="73"/>
      <c r="C26" s="73"/>
      <c r="D26" s="73"/>
      <c r="E26" s="73"/>
      <c r="F26" s="73"/>
    </row>
    <row r="27" spans="1:3" ht="15">
      <c r="A27" s="525" t="s">
        <v>243</v>
      </c>
      <c r="B27" s="18"/>
      <c r="C27" s="18"/>
    </row>
    <row r="28" spans="1:6" ht="15">
      <c r="A28" s="14" t="s">
        <v>1</v>
      </c>
      <c r="F28" s="511"/>
    </row>
  </sheetData>
  <mergeCells count="6">
    <mergeCell ref="A3:F3"/>
    <mergeCell ref="A4:F4"/>
    <mergeCell ref="A5:F5"/>
    <mergeCell ref="A7:A8"/>
    <mergeCell ref="B7:B8"/>
    <mergeCell ref="C7:C8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r:id="rId1"/>
  <headerFooter alignWithMargins="0">
    <oddFooter>&amp;C97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75" zoomScaleNormal="75" workbookViewId="0" topLeftCell="A1">
      <selection activeCell="F16" sqref="F16"/>
    </sheetView>
  </sheetViews>
  <sheetFormatPr defaultColWidth="9.140625" defaultRowHeight="12.75"/>
  <cols>
    <col min="1" max="1" width="5.7109375" style="14" customWidth="1"/>
    <col min="2" max="2" width="40.7109375" style="14" customWidth="1"/>
    <col min="3" max="6" width="20.7109375" style="14" customWidth="1"/>
    <col min="7" max="7" width="9.28125" style="14" customWidth="1"/>
    <col min="8" max="16384" width="9.140625" style="14" customWidth="1"/>
  </cols>
  <sheetData>
    <row r="1" ht="15">
      <c r="A1" s="13" t="s">
        <v>566</v>
      </c>
    </row>
    <row r="3" spans="1:7" ht="15">
      <c r="A3" s="641" t="s">
        <v>505</v>
      </c>
      <c r="B3" s="641"/>
      <c r="C3" s="641"/>
      <c r="D3" s="641"/>
      <c r="E3" s="641"/>
      <c r="F3" s="641"/>
      <c r="G3" s="15"/>
    </row>
    <row r="4" spans="1:7" ht="15">
      <c r="A4" s="642" t="str">
        <f>1!A5</f>
        <v>PROVINSI KALIMANTAN TENGAH</v>
      </c>
      <c r="B4" s="642"/>
      <c r="C4" s="642"/>
      <c r="D4" s="642"/>
      <c r="E4" s="642"/>
      <c r="F4" s="642"/>
      <c r="G4" s="16"/>
    </row>
    <row r="5" spans="1:7" ht="15">
      <c r="A5" s="642" t="str">
        <f>1!A6</f>
        <v>TAHUN 2009</v>
      </c>
      <c r="B5" s="642"/>
      <c r="C5" s="642"/>
      <c r="D5" s="642"/>
      <c r="E5" s="642"/>
      <c r="F5" s="642"/>
      <c r="G5" s="16"/>
    </row>
    <row r="6" spans="1:7" ht="15.75" thickBot="1">
      <c r="A6" s="82"/>
      <c r="B6" s="82"/>
      <c r="C6" s="82"/>
      <c r="D6" s="82"/>
      <c r="E6" s="82"/>
      <c r="F6" s="82"/>
      <c r="G6" s="16"/>
    </row>
    <row r="7" spans="1:6" ht="19.5" customHeight="1">
      <c r="A7" s="638" t="s">
        <v>2</v>
      </c>
      <c r="B7" s="638" t="s">
        <v>385</v>
      </c>
      <c r="C7" s="552" t="s">
        <v>386</v>
      </c>
      <c r="D7" s="553"/>
      <c r="E7" s="553"/>
      <c r="F7" s="554"/>
    </row>
    <row r="8" spans="1:6" ht="45">
      <c r="A8" s="639"/>
      <c r="B8" s="639"/>
      <c r="C8" s="156" t="s">
        <v>387</v>
      </c>
      <c r="D8" s="156" t="s">
        <v>497</v>
      </c>
      <c r="E8" s="156" t="s">
        <v>388</v>
      </c>
      <c r="F8" s="156" t="s">
        <v>389</v>
      </c>
    </row>
    <row r="9" spans="1:6" ht="15">
      <c r="A9" s="59">
        <v>1</v>
      </c>
      <c r="B9" s="137">
        <v>2</v>
      </c>
      <c r="C9" s="59">
        <v>3</v>
      </c>
      <c r="D9" s="137">
        <v>4</v>
      </c>
      <c r="E9" s="59">
        <v>5</v>
      </c>
      <c r="F9" s="59">
        <v>6</v>
      </c>
    </row>
    <row r="10" spans="1:6" ht="15">
      <c r="A10" s="138">
        <v>1</v>
      </c>
      <c r="B10" s="138" t="s">
        <v>912</v>
      </c>
      <c r="C10" s="140">
        <v>2123</v>
      </c>
      <c r="D10" s="140">
        <v>2123</v>
      </c>
      <c r="E10" s="140">
        <v>3</v>
      </c>
      <c r="F10" s="181">
        <f>E10/D10*100</f>
        <v>0.1413094677343382</v>
      </c>
    </row>
    <row r="11" spans="1:6" ht="15">
      <c r="A11" s="138">
        <v>2</v>
      </c>
      <c r="B11" s="138" t="s">
        <v>31</v>
      </c>
      <c r="C11" s="139">
        <v>4297</v>
      </c>
      <c r="D11" s="139">
        <v>4297</v>
      </c>
      <c r="E11" s="139">
        <v>4</v>
      </c>
      <c r="F11" s="141">
        <f>E11/D11*100</f>
        <v>0.09308820107051431</v>
      </c>
    </row>
    <row r="12" spans="1:6" ht="15">
      <c r="A12" s="138">
        <v>3</v>
      </c>
      <c r="B12" s="138" t="s">
        <v>916</v>
      </c>
      <c r="C12" s="139">
        <v>2249</v>
      </c>
      <c r="D12" s="139">
        <v>2231</v>
      </c>
      <c r="E12" s="139">
        <v>0</v>
      </c>
      <c r="F12" s="141">
        <f>E12/D12*100</f>
        <v>0</v>
      </c>
    </row>
    <row r="13" spans="1:6" ht="15">
      <c r="A13" s="138">
        <v>4</v>
      </c>
      <c r="B13" s="138" t="s">
        <v>915</v>
      </c>
      <c r="C13" s="139">
        <v>78</v>
      </c>
      <c r="D13" s="139">
        <v>78</v>
      </c>
      <c r="E13" s="139">
        <v>0</v>
      </c>
      <c r="F13" s="141">
        <f>E13/D13*100</f>
        <v>0</v>
      </c>
    </row>
    <row r="14" spans="1:6" ht="15">
      <c r="A14" s="138">
        <v>5</v>
      </c>
      <c r="B14" s="138" t="s">
        <v>914</v>
      </c>
      <c r="C14" s="139">
        <v>560</v>
      </c>
      <c r="D14" s="139">
        <v>560</v>
      </c>
      <c r="E14" s="139">
        <v>0</v>
      </c>
      <c r="F14" s="141">
        <f>E14/D14*100</f>
        <v>0</v>
      </c>
    </row>
    <row r="15" spans="1:6" ht="15">
      <c r="A15" s="138"/>
      <c r="B15" s="138"/>
      <c r="C15" s="139"/>
      <c r="D15" s="139"/>
      <c r="E15" s="139"/>
      <c r="F15" s="141"/>
    </row>
    <row r="16" spans="1:6" ht="19.5" customHeight="1" thickBot="1">
      <c r="A16" s="148" t="s">
        <v>21</v>
      </c>
      <c r="B16" s="175"/>
      <c r="C16" s="167">
        <f>SUM(C10:C15)</f>
        <v>9307</v>
      </c>
      <c r="D16" s="167">
        <f>SUM(D10:D15)</f>
        <v>9289</v>
      </c>
      <c r="E16" s="167">
        <f>SUM(E10:E15)</f>
        <v>7</v>
      </c>
      <c r="F16" s="160">
        <f>E16/D16*100</f>
        <v>0.07535795026375283</v>
      </c>
    </row>
    <row r="17" spans="1:6" ht="15">
      <c r="A17" s="18"/>
      <c r="B17" s="18"/>
      <c r="C17" s="18"/>
      <c r="D17" s="18"/>
      <c r="E17" s="18"/>
      <c r="F17" s="18"/>
    </row>
    <row r="18" spans="1:6" ht="15">
      <c r="A18" s="525" t="s">
        <v>243</v>
      </c>
      <c r="B18" s="18"/>
      <c r="C18" s="18"/>
      <c r="D18" s="18"/>
      <c r="E18" s="18"/>
      <c r="F18" s="18"/>
    </row>
    <row r="19" ht="15">
      <c r="A19" s="14" t="s">
        <v>1</v>
      </c>
    </row>
  </sheetData>
  <mergeCells count="6">
    <mergeCell ref="A3:F3"/>
    <mergeCell ref="A4:F4"/>
    <mergeCell ref="A5:F5"/>
    <mergeCell ref="C7:F7"/>
    <mergeCell ref="A7:A8"/>
    <mergeCell ref="B7:B8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85" r:id="rId1"/>
  <headerFooter alignWithMargins="0">
    <oddFooter>&amp;C98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4"/>
  <dimension ref="A1:AR55"/>
  <sheetViews>
    <sheetView view="pageBreakPreview" zoomScale="60" zoomScaleNormal="75" workbookViewId="0" topLeftCell="A1">
      <selection activeCell="C54" sqref="C54"/>
    </sheetView>
  </sheetViews>
  <sheetFormatPr defaultColWidth="9.140625" defaultRowHeight="12.75"/>
  <cols>
    <col min="1" max="1" width="5.7109375" style="133" customWidth="1"/>
    <col min="2" max="2" width="40.7109375" style="133" customWidth="1"/>
    <col min="3" max="7" width="20.7109375" style="133" customWidth="1"/>
    <col min="8" max="16384" width="9.140625" style="133" customWidth="1"/>
  </cols>
  <sheetData>
    <row r="1" ht="15">
      <c r="A1" s="132" t="s">
        <v>567</v>
      </c>
    </row>
    <row r="3" spans="1:7" ht="15">
      <c r="A3" s="654" t="s">
        <v>562</v>
      </c>
      <c r="B3" s="654"/>
      <c r="C3" s="654"/>
      <c r="D3" s="654"/>
      <c r="E3" s="654"/>
      <c r="F3" s="654"/>
      <c r="G3" s="654"/>
    </row>
    <row r="4" spans="1:7" ht="15">
      <c r="A4" s="654" t="str">
        <f>1!A5</f>
        <v>PROVINSI KALIMANTAN TENGAH</v>
      </c>
      <c r="B4" s="654"/>
      <c r="C4" s="654"/>
      <c r="D4" s="654"/>
      <c r="E4" s="654"/>
      <c r="F4" s="654"/>
      <c r="G4" s="654"/>
    </row>
    <row r="5" spans="1:44" ht="15">
      <c r="A5" s="654" t="str">
        <f>1!A6</f>
        <v>TAHUN 2009</v>
      </c>
      <c r="B5" s="654"/>
      <c r="C5" s="654"/>
      <c r="D5" s="654"/>
      <c r="E5" s="654"/>
      <c r="F5" s="654"/>
      <c r="G5" s="654"/>
      <c r="H5" s="240"/>
      <c r="I5" s="240"/>
      <c r="J5" s="240"/>
      <c r="K5" s="240"/>
      <c r="V5" s="702" t="s">
        <v>341</v>
      </c>
      <c r="W5" s="702"/>
      <c r="X5" s="702"/>
      <c r="Y5" s="702"/>
      <c r="Z5" s="702"/>
      <c r="AA5" s="702"/>
      <c r="AB5" s="702"/>
      <c r="AC5" s="702"/>
      <c r="AD5" s="702"/>
      <c r="AE5" s="702"/>
      <c r="AF5" s="702"/>
      <c r="AG5" s="702"/>
      <c r="AH5" s="702"/>
      <c r="AI5" s="702"/>
      <c r="AJ5" s="702"/>
      <c r="AK5" s="702"/>
      <c r="AL5" s="702"/>
      <c r="AM5" s="702"/>
      <c r="AN5" s="702"/>
      <c r="AO5" s="702"/>
      <c r="AP5" s="702"/>
      <c r="AQ5" s="702"/>
      <c r="AR5" s="702"/>
    </row>
    <row r="6" spans="1:11" ht="15.75" thickBot="1">
      <c r="A6" s="248"/>
      <c r="B6" s="248"/>
      <c r="C6" s="177"/>
      <c r="D6" s="177"/>
      <c r="E6" s="177"/>
      <c r="F6" s="177"/>
      <c r="G6" s="177"/>
      <c r="H6" s="240"/>
      <c r="I6" s="240"/>
      <c r="J6" s="240"/>
      <c r="K6" s="240"/>
    </row>
    <row r="7" spans="1:7" ht="19.5" customHeight="1">
      <c r="A7" s="637" t="s">
        <v>2</v>
      </c>
      <c r="B7" s="547" t="s">
        <v>344</v>
      </c>
      <c r="C7" s="96" t="s">
        <v>342</v>
      </c>
      <c r="D7" s="96"/>
      <c r="E7" s="96"/>
      <c r="F7" s="218" t="s">
        <v>343</v>
      </c>
      <c r="G7" s="96"/>
    </row>
    <row r="8" spans="1:7" ht="36.75" customHeight="1">
      <c r="A8" s="639"/>
      <c r="B8" s="560"/>
      <c r="C8" s="234" t="s">
        <v>231</v>
      </c>
      <c r="D8" s="59" t="s">
        <v>232</v>
      </c>
      <c r="E8" s="153" t="s">
        <v>21</v>
      </c>
      <c r="F8" s="137" t="s">
        <v>21</v>
      </c>
      <c r="G8" s="59" t="s">
        <v>27</v>
      </c>
    </row>
    <row r="9" spans="1:7" ht="15">
      <c r="A9" s="27">
        <v>1</v>
      </c>
      <c r="B9" s="27">
        <v>2</v>
      </c>
      <c r="C9" s="137">
        <v>3</v>
      </c>
      <c r="D9" s="59">
        <v>4</v>
      </c>
      <c r="E9" s="59">
        <v>5</v>
      </c>
      <c r="F9" s="59">
        <v>6</v>
      </c>
      <c r="G9" s="59">
        <v>7</v>
      </c>
    </row>
    <row r="10" spans="1:7" ht="15">
      <c r="A10" s="76" t="s">
        <v>279</v>
      </c>
      <c r="B10" s="183" t="s">
        <v>886</v>
      </c>
      <c r="C10" s="139"/>
      <c r="D10" s="139"/>
      <c r="E10" s="139"/>
      <c r="F10" s="139"/>
      <c r="G10" s="141"/>
    </row>
    <row r="11" spans="1:7" ht="15">
      <c r="A11" s="76">
        <f>'35'!A11</f>
        <v>1</v>
      </c>
      <c r="B11" s="183" t="str">
        <f>'35'!B11</f>
        <v>Kotawaringin Barat</v>
      </c>
      <c r="C11" s="139">
        <v>147707</v>
      </c>
      <c r="D11" s="139">
        <v>3012</v>
      </c>
      <c r="E11" s="139">
        <f aca="true" t="shared" si="0" ref="E11:E24">SUM(C11:D11)</f>
        <v>150719</v>
      </c>
      <c r="F11" s="139">
        <v>216</v>
      </c>
      <c r="G11" s="141">
        <f>F11/E11*100</f>
        <v>0.14331305276706985</v>
      </c>
    </row>
    <row r="12" spans="1:7" ht="15">
      <c r="A12" s="76">
        <f>'35'!A12</f>
        <v>2</v>
      </c>
      <c r="B12" s="183" t="str">
        <f>'35'!B12</f>
        <v>Lamandau</v>
      </c>
      <c r="C12" s="139">
        <v>41810</v>
      </c>
      <c r="D12" s="139">
        <v>11</v>
      </c>
      <c r="E12" s="139">
        <f>SUM(C12:D12)</f>
        <v>41821</v>
      </c>
      <c r="F12" s="139">
        <v>1</v>
      </c>
      <c r="G12" s="141">
        <f>F12/E12*100</f>
        <v>0.002391143205566581</v>
      </c>
    </row>
    <row r="13" spans="1:7" ht="15">
      <c r="A13" s="76">
        <f>'35'!A13</f>
        <v>3</v>
      </c>
      <c r="B13" s="183" t="str">
        <f>'35'!B13</f>
        <v>Sukamara</v>
      </c>
      <c r="C13" s="139">
        <v>19521</v>
      </c>
      <c r="D13" s="139">
        <v>1545</v>
      </c>
      <c r="E13" s="139">
        <f>SUM(C13:D13)</f>
        <v>21066</v>
      </c>
      <c r="F13" s="139">
        <v>20</v>
      </c>
      <c r="G13" s="141">
        <f>F13/E13*100</f>
        <v>0.0949397132820659</v>
      </c>
    </row>
    <row r="14" spans="1:7" ht="15">
      <c r="A14" s="76">
        <f>'35'!A14</f>
        <v>4</v>
      </c>
      <c r="B14" s="183" t="str">
        <f>'35'!B14</f>
        <v>Kotawaringin Timur</v>
      </c>
      <c r="C14" s="139">
        <v>115743</v>
      </c>
      <c r="D14" s="139">
        <v>2388</v>
      </c>
      <c r="E14" s="139">
        <f>SUM(C14:D14)</f>
        <v>118131</v>
      </c>
      <c r="F14" s="139">
        <v>303</v>
      </c>
      <c r="G14" s="141">
        <f>F14/E14*100</f>
        <v>0.2564949081951393</v>
      </c>
    </row>
    <row r="15" spans="1:7" ht="15">
      <c r="A15" s="76">
        <f>'35'!A15</f>
        <v>5</v>
      </c>
      <c r="B15" s="183" t="str">
        <f>'35'!B15</f>
        <v>Seruyan</v>
      </c>
      <c r="C15" s="139">
        <v>30136</v>
      </c>
      <c r="D15" s="139">
        <v>0</v>
      </c>
      <c r="E15" s="139">
        <f>SUM(C15:D15)</f>
        <v>30136</v>
      </c>
      <c r="F15" s="139">
        <v>37</v>
      </c>
      <c r="G15" s="141">
        <f>F15/E15*100</f>
        <v>0.12277674542075921</v>
      </c>
    </row>
    <row r="16" spans="1:7" ht="15">
      <c r="A16" s="76">
        <f>'35'!A16</f>
        <v>6</v>
      </c>
      <c r="B16" s="183" t="str">
        <f>'35'!B16</f>
        <v>Katingan</v>
      </c>
      <c r="C16" s="139">
        <v>74733</v>
      </c>
      <c r="D16" s="139">
        <v>599</v>
      </c>
      <c r="E16" s="139">
        <f t="shared" si="0"/>
        <v>75332</v>
      </c>
      <c r="F16" s="139">
        <v>484</v>
      </c>
      <c r="G16" s="141">
        <f aca="true" t="shared" si="1" ref="G16:G26">F16/E16*100</f>
        <v>0.6424892475973026</v>
      </c>
    </row>
    <row r="17" spans="1:7" ht="15">
      <c r="A17" s="76">
        <f>'35'!A17</f>
        <v>7</v>
      </c>
      <c r="B17" s="183" t="str">
        <f>'35'!B17</f>
        <v>Kapuas</v>
      </c>
      <c r="C17" s="139">
        <v>265823</v>
      </c>
      <c r="D17" s="139">
        <v>283</v>
      </c>
      <c r="E17" s="139">
        <f t="shared" si="0"/>
        <v>266106</v>
      </c>
      <c r="F17" s="139">
        <v>70</v>
      </c>
      <c r="G17" s="141">
        <f t="shared" si="1"/>
        <v>0.026305306907773596</v>
      </c>
    </row>
    <row r="18" spans="1:7" ht="15">
      <c r="A18" s="76">
        <f>'35'!A18</f>
        <v>8</v>
      </c>
      <c r="B18" s="183" t="str">
        <f>'35'!B18</f>
        <v>Pulang Pisau</v>
      </c>
      <c r="C18" s="139">
        <v>68291</v>
      </c>
      <c r="D18" s="139">
        <v>735</v>
      </c>
      <c r="E18" s="139">
        <f t="shared" si="0"/>
        <v>69026</v>
      </c>
      <c r="F18" s="139">
        <v>0</v>
      </c>
      <c r="G18" s="141">
        <f t="shared" si="1"/>
        <v>0</v>
      </c>
    </row>
    <row r="19" spans="1:7" ht="15">
      <c r="A19" s="76">
        <f>'35'!A19</f>
        <v>9</v>
      </c>
      <c r="B19" s="183" t="str">
        <f>'35'!B19</f>
        <v>Gunung Mas</v>
      </c>
      <c r="C19" s="139">
        <v>41908</v>
      </c>
      <c r="D19" s="139">
        <v>350</v>
      </c>
      <c r="E19" s="139">
        <f t="shared" si="0"/>
        <v>42258</v>
      </c>
      <c r="F19" s="139">
        <v>0</v>
      </c>
      <c r="G19" s="141">
        <f t="shared" si="1"/>
        <v>0</v>
      </c>
    </row>
    <row r="20" spans="1:7" ht="15">
      <c r="A20" s="76">
        <f>'35'!A20</f>
        <v>10</v>
      </c>
      <c r="B20" s="183" t="str">
        <f>'35'!B20</f>
        <v>Barito Selatan</v>
      </c>
      <c r="C20" s="139">
        <v>122076</v>
      </c>
      <c r="D20" s="139">
        <v>160</v>
      </c>
      <c r="E20" s="139">
        <f t="shared" si="0"/>
        <v>122236</v>
      </c>
      <c r="F20" s="139">
        <v>71</v>
      </c>
      <c r="G20" s="141">
        <f t="shared" si="1"/>
        <v>0.058084361399260445</v>
      </c>
    </row>
    <row r="21" spans="1:7" ht="15">
      <c r="A21" s="76">
        <f>'35'!A21</f>
        <v>11</v>
      </c>
      <c r="B21" s="183" t="str">
        <f>'35'!B21</f>
        <v>Barito Timur</v>
      </c>
      <c r="C21" s="139">
        <v>57777</v>
      </c>
      <c r="D21" s="139">
        <v>761</v>
      </c>
      <c r="E21" s="139">
        <f>SUM(C21:D21)</f>
        <v>58538</v>
      </c>
      <c r="F21" s="139">
        <v>170</v>
      </c>
      <c r="G21" s="141">
        <f t="shared" si="1"/>
        <v>0.2904096484334962</v>
      </c>
    </row>
    <row r="22" spans="1:7" ht="15">
      <c r="A22" s="76">
        <f>'35'!A22</f>
        <v>12</v>
      </c>
      <c r="B22" s="183" t="str">
        <f>'35'!B22</f>
        <v>Barito Utara</v>
      </c>
      <c r="C22" s="139">
        <v>56145</v>
      </c>
      <c r="D22" s="139">
        <v>18</v>
      </c>
      <c r="E22" s="139">
        <f>SUM(C22:D22)</f>
        <v>56163</v>
      </c>
      <c r="F22" s="139">
        <v>135</v>
      </c>
      <c r="G22" s="141">
        <f t="shared" si="1"/>
        <v>0.24037177501201856</v>
      </c>
    </row>
    <row r="23" spans="1:7" ht="15">
      <c r="A23" s="76">
        <f>'35'!A23</f>
        <v>13</v>
      </c>
      <c r="B23" s="183" t="str">
        <f>'35'!B23</f>
        <v>Murung Raya</v>
      </c>
      <c r="C23" s="139">
        <v>43726</v>
      </c>
      <c r="D23" s="139">
        <v>114</v>
      </c>
      <c r="E23" s="139">
        <f t="shared" si="0"/>
        <v>43840</v>
      </c>
      <c r="F23" s="139">
        <v>168</v>
      </c>
      <c r="G23" s="141">
        <f t="shared" si="1"/>
        <v>0.38321167883211676</v>
      </c>
    </row>
    <row r="24" spans="1:7" ht="15">
      <c r="A24" s="76">
        <f>'35'!A24</f>
        <v>14</v>
      </c>
      <c r="B24" s="183" t="str">
        <f>'35'!B24</f>
        <v>Palangka Raya</v>
      </c>
      <c r="C24" s="139">
        <v>226003</v>
      </c>
      <c r="D24" s="139">
        <v>4213</v>
      </c>
      <c r="E24" s="139">
        <f t="shared" si="0"/>
        <v>230216</v>
      </c>
      <c r="F24" s="139">
        <v>1507</v>
      </c>
      <c r="G24" s="141">
        <f t="shared" si="1"/>
        <v>0.6546026340480244</v>
      </c>
    </row>
    <row r="25" spans="1:7" ht="15">
      <c r="A25" s="76"/>
      <c r="B25" s="183"/>
      <c r="C25" s="139"/>
      <c r="D25" s="139"/>
      <c r="E25" s="139"/>
      <c r="F25" s="139"/>
      <c r="G25" s="141"/>
    </row>
    <row r="26" spans="1:7" ht="19.5" customHeight="1">
      <c r="A26" s="144" t="s">
        <v>345</v>
      </c>
      <c r="B26" s="144"/>
      <c r="C26" s="147">
        <f>SUM(C10:C25)</f>
        <v>1311399</v>
      </c>
      <c r="D26" s="147">
        <f>SUM(D10:D25)</f>
        <v>14189</v>
      </c>
      <c r="E26" s="147">
        <f>SUM(E10:E25)</f>
        <v>1325588</v>
      </c>
      <c r="F26" s="147">
        <f>SUM(F10:F25)</f>
        <v>3182</v>
      </c>
      <c r="G26" s="236">
        <f t="shared" si="1"/>
        <v>0.24004441802430318</v>
      </c>
    </row>
    <row r="27" spans="1:7" ht="15">
      <c r="A27" s="76" t="s">
        <v>871</v>
      </c>
      <c r="B27" s="183" t="s">
        <v>428</v>
      </c>
      <c r="C27" s="139"/>
      <c r="D27" s="139"/>
      <c r="E27" s="139"/>
      <c r="F27" s="139"/>
      <c r="G27" s="141"/>
    </row>
    <row r="28" spans="1:7" ht="15">
      <c r="A28" s="76">
        <f>'35'!A45</f>
        <v>1</v>
      </c>
      <c r="B28" s="183" t="str">
        <f>'35'!B45</f>
        <v>Dr. St. Imanuddin</v>
      </c>
      <c r="C28" s="139">
        <v>52327</v>
      </c>
      <c r="D28" s="139">
        <v>9781</v>
      </c>
      <c r="E28" s="139">
        <f aca="true" t="shared" si="2" ref="E28:E42">SUM(C28:D28)</f>
        <v>62108</v>
      </c>
      <c r="F28" s="139">
        <v>0</v>
      </c>
      <c r="G28" s="141">
        <f>F28/E28*100</f>
        <v>0</v>
      </c>
    </row>
    <row r="29" spans="1:7" ht="15">
      <c r="A29" s="76">
        <f>'35'!A46</f>
        <v>2</v>
      </c>
      <c r="B29" s="183" t="str">
        <f>'35'!B46</f>
        <v>Lamandau</v>
      </c>
      <c r="C29" s="139">
        <v>4302</v>
      </c>
      <c r="D29" s="139">
        <v>980</v>
      </c>
      <c r="E29" s="139">
        <f t="shared" si="2"/>
        <v>5282</v>
      </c>
      <c r="F29" s="139">
        <v>0</v>
      </c>
      <c r="G29" s="141">
        <f aca="true" t="shared" si="3" ref="G29:G42">F29/E29*100</f>
        <v>0</v>
      </c>
    </row>
    <row r="30" spans="1:7" ht="15">
      <c r="A30" s="76">
        <f>'35'!A47</f>
        <v>3</v>
      </c>
      <c r="B30" s="183" t="str">
        <f>'35'!B47</f>
        <v>Sukamara</v>
      </c>
      <c r="C30" s="139">
        <v>4205</v>
      </c>
      <c r="D30" s="139">
        <v>661</v>
      </c>
      <c r="E30" s="139">
        <f t="shared" si="2"/>
        <v>4866</v>
      </c>
      <c r="F30" s="139">
        <v>0</v>
      </c>
      <c r="G30" s="141">
        <f t="shared" si="3"/>
        <v>0</v>
      </c>
    </row>
    <row r="31" spans="1:7" ht="15">
      <c r="A31" s="76">
        <f>'35'!A48</f>
        <v>4</v>
      </c>
      <c r="B31" s="183" t="str">
        <f>'35'!B48</f>
        <v>Dr. Murjani</v>
      </c>
      <c r="C31" s="139">
        <v>26966</v>
      </c>
      <c r="D31" s="139">
        <v>9521</v>
      </c>
      <c r="E31" s="139">
        <f t="shared" si="2"/>
        <v>36487</v>
      </c>
      <c r="F31" s="139">
        <v>129</v>
      </c>
      <c r="G31" s="141">
        <f t="shared" si="3"/>
        <v>0.3535505796585085</v>
      </c>
    </row>
    <row r="32" spans="1:7" ht="15">
      <c r="A32" s="76">
        <f>'35'!A49</f>
        <v>5</v>
      </c>
      <c r="B32" s="183" t="str">
        <f>'35'!B49</f>
        <v>Kuala Pembuang</v>
      </c>
      <c r="C32" s="139">
        <v>5541</v>
      </c>
      <c r="D32" s="139">
        <v>587</v>
      </c>
      <c r="E32" s="139">
        <f t="shared" si="2"/>
        <v>6128</v>
      </c>
      <c r="F32" s="139">
        <v>0</v>
      </c>
      <c r="G32" s="141">
        <v>0</v>
      </c>
    </row>
    <row r="33" spans="1:7" ht="15">
      <c r="A33" s="76">
        <f>'35'!A50</f>
        <v>6</v>
      </c>
      <c r="B33" s="183" t="str">
        <f>'35'!B50</f>
        <v>Hanua</v>
      </c>
      <c r="C33" s="139">
        <v>3345</v>
      </c>
      <c r="D33" s="139">
        <v>862</v>
      </c>
      <c r="E33" s="139">
        <f t="shared" si="2"/>
        <v>4207</v>
      </c>
      <c r="F33" s="139">
        <v>0</v>
      </c>
      <c r="G33" s="141">
        <v>0</v>
      </c>
    </row>
    <row r="34" spans="1:7" ht="15">
      <c r="A34" s="76">
        <f>'35'!A51</f>
        <v>7</v>
      </c>
      <c r="B34" s="183" t="str">
        <f>'35'!B51</f>
        <v>Kasongan</v>
      </c>
      <c r="C34" s="139">
        <v>13696</v>
      </c>
      <c r="D34" s="139">
        <v>2004</v>
      </c>
      <c r="E34" s="139">
        <f t="shared" si="2"/>
        <v>15700</v>
      </c>
      <c r="F34" s="139">
        <v>0</v>
      </c>
      <c r="G34" s="141">
        <f t="shared" si="3"/>
        <v>0</v>
      </c>
    </row>
    <row r="35" spans="1:7" ht="15">
      <c r="A35" s="76">
        <f>'35'!A52</f>
        <v>8</v>
      </c>
      <c r="B35" s="183" t="str">
        <f>'35'!B52</f>
        <v>Dr. Soemarno SA</v>
      </c>
      <c r="C35" s="139">
        <v>97210</v>
      </c>
      <c r="D35" s="139">
        <v>44133</v>
      </c>
      <c r="E35" s="139">
        <f t="shared" si="2"/>
        <v>141343</v>
      </c>
      <c r="F35" s="139">
        <v>0</v>
      </c>
      <c r="G35" s="141">
        <f t="shared" si="3"/>
        <v>0</v>
      </c>
    </row>
    <row r="36" spans="1:7" ht="15">
      <c r="A36" s="76">
        <f>'35'!A53</f>
        <v>9</v>
      </c>
      <c r="B36" s="183" t="str">
        <f>'35'!B53</f>
        <v>Pulang Pisau</v>
      </c>
      <c r="C36" s="139">
        <v>6036</v>
      </c>
      <c r="D36" s="139">
        <v>1074</v>
      </c>
      <c r="E36" s="139">
        <f t="shared" si="2"/>
        <v>7110</v>
      </c>
      <c r="F36" s="139">
        <v>0</v>
      </c>
      <c r="G36" s="141">
        <f t="shared" si="3"/>
        <v>0</v>
      </c>
    </row>
    <row r="37" spans="1:7" ht="15">
      <c r="A37" s="76">
        <f>'35'!A54</f>
        <v>10</v>
      </c>
      <c r="B37" s="183" t="str">
        <f>'35'!B54</f>
        <v>Kuala Kurun</v>
      </c>
      <c r="C37" s="139">
        <v>4983</v>
      </c>
      <c r="D37" s="139">
        <v>1110</v>
      </c>
      <c r="E37" s="139">
        <f t="shared" si="2"/>
        <v>6093</v>
      </c>
      <c r="F37" s="139">
        <v>0</v>
      </c>
      <c r="G37" s="141">
        <f t="shared" si="3"/>
        <v>0</v>
      </c>
    </row>
    <row r="38" spans="1:7" ht="15">
      <c r="A38" s="76">
        <f>'35'!A55</f>
        <v>11</v>
      </c>
      <c r="B38" s="183" t="str">
        <f>'35'!B55</f>
        <v>Buntok</v>
      </c>
      <c r="C38" s="139">
        <v>27615</v>
      </c>
      <c r="D38" s="139">
        <v>2789</v>
      </c>
      <c r="E38" s="139">
        <f t="shared" si="2"/>
        <v>30404</v>
      </c>
      <c r="F38" s="139">
        <v>0</v>
      </c>
      <c r="G38" s="141">
        <f t="shared" si="3"/>
        <v>0</v>
      </c>
    </row>
    <row r="39" spans="1:7" ht="15">
      <c r="A39" s="76">
        <f>'35'!A56</f>
        <v>12</v>
      </c>
      <c r="B39" s="183" t="str">
        <f>'35'!B56</f>
        <v>Tamiang Layang</v>
      </c>
      <c r="C39" s="139">
        <v>6476</v>
      </c>
      <c r="D39" s="139">
        <v>1956</v>
      </c>
      <c r="E39" s="139">
        <f t="shared" si="2"/>
        <v>8432</v>
      </c>
      <c r="F39" s="139">
        <v>0</v>
      </c>
      <c r="G39" s="141">
        <f t="shared" si="3"/>
        <v>0</v>
      </c>
    </row>
    <row r="40" spans="1:7" ht="15">
      <c r="A40" s="76">
        <f>'35'!A57</f>
        <v>13</v>
      </c>
      <c r="B40" s="183" t="str">
        <f>'35'!B57</f>
        <v>Muara Teweh</v>
      </c>
      <c r="C40" s="139">
        <v>10901</v>
      </c>
      <c r="D40" s="139">
        <v>4804</v>
      </c>
      <c r="E40" s="139">
        <f t="shared" si="2"/>
        <v>15705</v>
      </c>
      <c r="F40" s="139">
        <v>2</v>
      </c>
      <c r="G40" s="141">
        <f t="shared" si="3"/>
        <v>0.012734797835084369</v>
      </c>
    </row>
    <row r="41" spans="1:7" ht="15">
      <c r="A41" s="76">
        <f>'35'!A58</f>
        <v>14</v>
      </c>
      <c r="B41" s="183" t="str">
        <f>'35'!B58</f>
        <v>Puruk Cahu</v>
      </c>
      <c r="C41" s="139">
        <v>7453</v>
      </c>
      <c r="D41" s="139">
        <v>1918</v>
      </c>
      <c r="E41" s="139">
        <f t="shared" si="2"/>
        <v>9371</v>
      </c>
      <c r="F41" s="139">
        <v>0</v>
      </c>
      <c r="G41" s="141">
        <f t="shared" si="3"/>
        <v>0</v>
      </c>
    </row>
    <row r="42" spans="1:7" ht="15">
      <c r="A42" s="76">
        <f>'35'!A59</f>
        <v>15</v>
      </c>
      <c r="B42" s="183" t="str">
        <f>'35'!B59</f>
        <v>Dr. Doris Sylvanus</v>
      </c>
      <c r="C42" s="139">
        <v>51661</v>
      </c>
      <c r="D42" s="139">
        <v>16904</v>
      </c>
      <c r="E42" s="139">
        <f t="shared" si="2"/>
        <v>68565</v>
      </c>
      <c r="F42" s="139">
        <v>717</v>
      </c>
      <c r="G42" s="141">
        <f t="shared" si="3"/>
        <v>1.045723036534675</v>
      </c>
    </row>
    <row r="43" spans="1:7" ht="15">
      <c r="A43" s="76"/>
      <c r="B43" s="183"/>
      <c r="C43" s="139"/>
      <c r="D43" s="139"/>
      <c r="E43" s="139"/>
      <c r="F43" s="139"/>
      <c r="G43" s="141"/>
    </row>
    <row r="44" spans="1:7" ht="19.5" customHeight="1">
      <c r="A44" s="144" t="s">
        <v>346</v>
      </c>
      <c r="B44" s="144"/>
      <c r="C44" s="147">
        <f>SUM(C27:C43)</f>
        <v>322717</v>
      </c>
      <c r="D44" s="147">
        <f>SUM(D27:D43)</f>
        <v>99084</v>
      </c>
      <c r="E44" s="147">
        <f>SUM(E27:E43)</f>
        <v>421801</v>
      </c>
      <c r="F44" s="147">
        <f>SUM(F27:F43)</f>
        <v>848</v>
      </c>
      <c r="G44" s="236">
        <f>F44/E44*100</f>
        <v>0.2010426717812428</v>
      </c>
    </row>
    <row r="45" spans="1:7" ht="15">
      <c r="A45" s="76" t="s">
        <v>873</v>
      </c>
      <c r="B45" s="183" t="s">
        <v>347</v>
      </c>
      <c r="C45" s="139"/>
      <c r="D45" s="139"/>
      <c r="E45" s="139"/>
      <c r="F45" s="139"/>
      <c r="G45" s="141"/>
    </row>
    <row r="46" spans="1:7" ht="15">
      <c r="A46" s="76">
        <v>1</v>
      </c>
      <c r="B46" s="183" t="s">
        <v>887</v>
      </c>
      <c r="C46" s="139">
        <v>364</v>
      </c>
      <c r="D46" s="139">
        <v>33</v>
      </c>
      <c r="E46" s="139">
        <f>SUM(C46:D46)</f>
        <v>397</v>
      </c>
      <c r="F46" s="139">
        <v>397</v>
      </c>
      <c r="G46" s="141">
        <f>F46/E46*100</f>
        <v>100</v>
      </c>
    </row>
    <row r="47" spans="1:7" ht="15">
      <c r="A47" s="76"/>
      <c r="B47" s="183"/>
      <c r="C47" s="139"/>
      <c r="D47" s="139"/>
      <c r="E47" s="139"/>
      <c r="F47" s="139"/>
      <c r="G47" s="141"/>
    </row>
    <row r="48" spans="1:7" ht="15">
      <c r="A48" s="144" t="s">
        <v>884</v>
      </c>
      <c r="B48" s="144"/>
      <c r="C48" s="147">
        <f>C46</f>
        <v>364</v>
      </c>
      <c r="D48" s="147">
        <f>D46</f>
        <v>33</v>
      </c>
      <c r="E48" s="147">
        <f>E46</f>
        <v>397</v>
      </c>
      <c r="F48" s="147">
        <f>F46</f>
        <v>397</v>
      </c>
      <c r="G48" s="236">
        <f>F48/E48*100</f>
        <v>100</v>
      </c>
    </row>
    <row r="49" spans="1:7" ht="15">
      <c r="A49" s="76"/>
      <c r="B49" s="183"/>
      <c r="C49" s="139"/>
      <c r="D49" s="139"/>
      <c r="E49" s="139"/>
      <c r="F49" s="139"/>
      <c r="G49" s="141"/>
    </row>
    <row r="50" spans="1:7" ht="19.5" customHeight="1">
      <c r="A50" s="228" t="s">
        <v>859</v>
      </c>
      <c r="B50" s="228"/>
      <c r="C50" s="147">
        <f>C26+C44+C48</f>
        <v>1634480</v>
      </c>
      <c r="D50" s="147">
        <f>D26+D44+D48</f>
        <v>113306</v>
      </c>
      <c r="E50" s="147">
        <f>E26+E44+E48</f>
        <v>1747786</v>
      </c>
      <c r="F50" s="147">
        <f>F26+F44+F48</f>
        <v>4427</v>
      </c>
      <c r="G50" s="236">
        <f>F50/E50*100</f>
        <v>0.25329187898289607</v>
      </c>
    </row>
    <row r="51" spans="1:7" ht="19.5" customHeight="1">
      <c r="A51" s="228" t="s">
        <v>888</v>
      </c>
      <c r="B51" s="228"/>
      <c r="C51" s="147">
        <f>1!G27</f>
        <v>2183668</v>
      </c>
      <c r="D51" s="147">
        <f>1!G27</f>
        <v>2183668</v>
      </c>
      <c r="E51" s="693"/>
      <c r="F51" s="694"/>
      <c r="G51" s="695"/>
    </row>
    <row r="52" spans="1:7" ht="15">
      <c r="A52" s="138" t="s">
        <v>348</v>
      </c>
      <c r="B52" s="138"/>
      <c r="C52" s="140"/>
      <c r="D52" s="227"/>
      <c r="E52" s="696"/>
      <c r="F52" s="697"/>
      <c r="G52" s="698"/>
    </row>
    <row r="53" spans="1:7" ht="15.75" thickBot="1">
      <c r="A53" s="243" t="s">
        <v>349</v>
      </c>
      <c r="B53" s="243"/>
      <c r="C53" s="463">
        <f>C50/1!G27*100</f>
        <v>74.85020616687153</v>
      </c>
      <c r="D53" s="463">
        <f>D50/1!G27*100</f>
        <v>5.188792435480119</v>
      </c>
      <c r="E53" s="699"/>
      <c r="F53" s="700"/>
      <c r="G53" s="701"/>
    </row>
    <row r="54" spans="1:6" ht="15">
      <c r="A54" s="73"/>
      <c r="B54" s="73"/>
      <c r="C54" s="73"/>
      <c r="D54" s="73"/>
      <c r="E54" s="73"/>
      <c r="F54" s="73"/>
    </row>
    <row r="55" ht="15">
      <c r="A55" s="525" t="s">
        <v>243</v>
      </c>
    </row>
  </sheetData>
  <mergeCells count="7">
    <mergeCell ref="A3:G3"/>
    <mergeCell ref="E51:G53"/>
    <mergeCell ref="V5:AR5"/>
    <mergeCell ref="A7:A8"/>
    <mergeCell ref="B7:B8"/>
    <mergeCell ref="A4:G4"/>
    <mergeCell ref="A5:G5"/>
  </mergeCells>
  <printOptions horizontalCentered="1"/>
  <pageMargins left="0.7874015748031497" right="0.3937007874015748" top="0.7874015748031497" bottom="0.984251968503937" header="0" footer="0.7874015748031497"/>
  <pageSetup horizontalDpi="300" verticalDpi="300" orientation="portrait" paperSize="9" scale="60" r:id="rId1"/>
  <headerFooter alignWithMargins="0">
    <oddFooter>&amp;C99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H24"/>
  <sheetViews>
    <sheetView zoomScale="75" zoomScaleNormal="75" workbookViewId="0" topLeftCell="A7">
      <selection activeCell="G19" sqref="G19"/>
    </sheetView>
  </sheetViews>
  <sheetFormatPr defaultColWidth="9.140625" defaultRowHeight="12.75"/>
  <cols>
    <col min="1" max="1" width="5.7109375" style="14" customWidth="1"/>
    <col min="2" max="2" width="40.7109375" style="14" customWidth="1"/>
    <col min="3" max="7" width="20.7109375" style="14" customWidth="1"/>
    <col min="8" max="16384" width="9.140625" style="14" customWidth="1"/>
  </cols>
  <sheetData>
    <row r="1" spans="1:7" ht="15">
      <c r="A1" s="14" t="s">
        <v>373</v>
      </c>
      <c r="B1" s="42"/>
      <c r="C1" s="42"/>
      <c r="D1" s="42"/>
      <c r="E1" s="42"/>
      <c r="F1" s="42"/>
      <c r="G1" s="42"/>
    </row>
    <row r="2" spans="1:7" ht="15">
      <c r="A2" s="42"/>
      <c r="B2" s="42"/>
      <c r="C2" s="42"/>
      <c r="D2" s="42"/>
      <c r="E2" s="42"/>
      <c r="F2" s="42"/>
      <c r="G2" s="17"/>
    </row>
    <row r="3" spans="1:7" ht="15">
      <c r="A3" s="641" t="s">
        <v>563</v>
      </c>
      <c r="B3" s="641"/>
      <c r="C3" s="641"/>
      <c r="D3" s="641"/>
      <c r="E3" s="641"/>
      <c r="F3" s="641"/>
      <c r="G3" s="641"/>
    </row>
    <row r="4" spans="1:7" ht="15">
      <c r="A4" s="641" t="str">
        <f>1!A5</f>
        <v>PROVINSI KALIMANTAN TENGAH</v>
      </c>
      <c r="B4" s="641"/>
      <c r="C4" s="641"/>
      <c r="D4" s="641"/>
      <c r="E4" s="641"/>
      <c r="F4" s="641"/>
      <c r="G4" s="641"/>
    </row>
    <row r="5" spans="1:7" ht="15">
      <c r="A5" s="641" t="str">
        <f>1!A6</f>
        <v>TAHUN 2009</v>
      </c>
      <c r="B5" s="641"/>
      <c r="C5" s="641"/>
      <c r="D5" s="641"/>
      <c r="E5" s="641"/>
      <c r="F5" s="641"/>
      <c r="G5" s="641"/>
    </row>
    <row r="6" spans="1:3" ht="15.75" thickBot="1">
      <c r="A6" s="18"/>
      <c r="C6" s="106"/>
    </row>
    <row r="7" spans="1:7" ht="19.5" customHeight="1">
      <c r="A7" s="634" t="s">
        <v>2</v>
      </c>
      <c r="B7" s="655" t="s">
        <v>200</v>
      </c>
      <c r="C7" s="547" t="s">
        <v>21</v>
      </c>
      <c r="D7" s="47" t="s">
        <v>203</v>
      </c>
      <c r="E7" s="44"/>
      <c r="F7" s="44" t="s">
        <v>204</v>
      </c>
      <c r="G7" s="44"/>
    </row>
    <row r="8" spans="1:7" ht="39" customHeight="1">
      <c r="A8" s="636"/>
      <c r="B8" s="675"/>
      <c r="C8" s="560"/>
      <c r="D8" s="61" t="s">
        <v>201</v>
      </c>
      <c r="E8" s="209" t="s">
        <v>236</v>
      </c>
      <c r="F8" s="11" t="s">
        <v>201</v>
      </c>
      <c r="G8" s="209" t="s">
        <v>236</v>
      </c>
    </row>
    <row r="9" spans="1:7" ht="15" customHeight="1">
      <c r="A9" s="11">
        <v>1</v>
      </c>
      <c r="B9" s="11">
        <v>2</v>
      </c>
      <c r="C9" s="26">
        <v>3</v>
      </c>
      <c r="D9" s="11">
        <v>4</v>
      </c>
      <c r="E9" s="11">
        <v>5</v>
      </c>
      <c r="F9" s="11">
        <v>6</v>
      </c>
      <c r="G9" s="11">
        <v>7</v>
      </c>
    </row>
    <row r="10" spans="1:7" ht="15" customHeight="1">
      <c r="A10" s="22"/>
      <c r="B10" s="22"/>
      <c r="C10" s="22"/>
      <c r="D10" s="22"/>
      <c r="E10" s="22"/>
      <c r="F10" s="22"/>
      <c r="G10" s="22"/>
    </row>
    <row r="11" spans="1:7" ht="15">
      <c r="A11" s="22"/>
      <c r="B11" s="22"/>
      <c r="C11" s="22"/>
      <c r="D11" s="22"/>
      <c r="E11" s="22"/>
      <c r="F11" s="22"/>
      <c r="G11" s="22"/>
    </row>
    <row r="12" spans="1:8" ht="39.75" customHeight="1">
      <c r="A12" s="30">
        <v>1</v>
      </c>
      <c r="B12" s="30" t="s">
        <v>233</v>
      </c>
      <c r="C12" s="31">
        <f>1+1+1+1+1+1+1+1+1+1+2+1+1+1</f>
        <v>15</v>
      </c>
      <c r="D12" s="31">
        <f>1+1+1+1+1+1+1+1+1+1+2+1+1+1</f>
        <v>15</v>
      </c>
      <c r="E12" s="139">
        <f>1+1+1+1+1</f>
        <v>5</v>
      </c>
      <c r="F12" s="198">
        <f>D12/C12*100</f>
        <v>100</v>
      </c>
      <c r="G12" s="198">
        <f>E12/C12*100</f>
        <v>33.33333333333333</v>
      </c>
      <c r="H12" s="193"/>
    </row>
    <row r="13" spans="1:7" ht="39.75" customHeight="1">
      <c r="A13" s="30"/>
      <c r="B13" s="30"/>
      <c r="C13" s="31"/>
      <c r="D13" s="31"/>
      <c r="E13" s="31"/>
      <c r="F13" s="198"/>
      <c r="G13" s="198"/>
    </row>
    <row r="14" spans="1:8" ht="39.75" customHeight="1">
      <c r="A14" s="30">
        <v>2</v>
      </c>
      <c r="B14" s="30" t="s">
        <v>234</v>
      </c>
      <c r="C14" s="31">
        <f>0</f>
        <v>0</v>
      </c>
      <c r="D14" s="31">
        <f>0</f>
        <v>0</v>
      </c>
      <c r="E14" s="249"/>
      <c r="F14" s="198">
        <v>0</v>
      </c>
      <c r="G14" s="198">
        <v>0</v>
      </c>
      <c r="H14" s="193"/>
    </row>
    <row r="15" spans="1:7" ht="39.75" customHeight="1">
      <c r="A15" s="30"/>
      <c r="B15" s="30"/>
      <c r="C15" s="31"/>
      <c r="D15" s="31"/>
      <c r="E15" s="249"/>
      <c r="F15" s="198"/>
      <c r="G15" s="198"/>
    </row>
    <row r="16" spans="1:8" ht="39.75" customHeight="1">
      <c r="A16" s="30">
        <v>3</v>
      </c>
      <c r="B16" s="250" t="s">
        <v>235</v>
      </c>
      <c r="C16" s="31">
        <f>0</f>
        <v>0</v>
      </c>
      <c r="D16" s="31">
        <f>0</f>
        <v>0</v>
      </c>
      <c r="E16" s="249"/>
      <c r="F16" s="198">
        <v>0</v>
      </c>
      <c r="G16" s="251"/>
      <c r="H16" s="193"/>
    </row>
    <row r="17" spans="1:7" ht="39.75" customHeight="1">
      <c r="A17" s="30"/>
      <c r="B17" s="250"/>
      <c r="C17" s="31"/>
      <c r="D17" s="31"/>
      <c r="E17" s="249"/>
      <c r="F17" s="198"/>
      <c r="G17" s="251"/>
    </row>
    <row r="18" spans="1:8" ht="39.75" customHeight="1">
      <c r="A18" s="30">
        <v>4</v>
      </c>
      <c r="B18" s="30" t="s">
        <v>7</v>
      </c>
      <c r="C18" s="31">
        <f>9+15+11+12+15+5+14+9+18+23+12+9+11+10</f>
        <v>173</v>
      </c>
      <c r="D18" s="31">
        <f>8+15+11+4+10+5+14+1+10+11+6+1+8+4</f>
        <v>108</v>
      </c>
      <c r="E18" s="249"/>
      <c r="F18" s="198">
        <f>D18/C18*100</f>
        <v>62.42774566473989</v>
      </c>
      <c r="G18" s="251"/>
      <c r="H18" s="193"/>
    </row>
    <row r="19" spans="1:7" ht="39.75" customHeight="1">
      <c r="A19" s="34"/>
      <c r="B19" s="35"/>
      <c r="C19" s="36"/>
      <c r="D19" s="36"/>
      <c r="E19" s="252"/>
      <c r="F19" s="199"/>
      <c r="G19" s="253"/>
    </row>
    <row r="20" spans="1:8" ht="39.75" customHeight="1" thickBot="1">
      <c r="A20" s="165" t="s">
        <v>859</v>
      </c>
      <c r="B20" s="70"/>
      <c r="C20" s="41">
        <f>SUM(C12:C18)</f>
        <v>188</v>
      </c>
      <c r="D20" s="41">
        <f>SUM(D12:D18)</f>
        <v>123</v>
      </c>
      <c r="E20" s="41">
        <f>SUM(E12:E18)</f>
        <v>5</v>
      </c>
      <c r="F20" s="200">
        <f>D20/C20*100</f>
        <v>65.42553191489363</v>
      </c>
      <c r="G20" s="254"/>
      <c r="H20" s="193"/>
    </row>
    <row r="21" ht="19.5" customHeight="1"/>
    <row r="22" spans="1:8" ht="19.5" customHeight="1">
      <c r="A22" s="525" t="s">
        <v>243</v>
      </c>
      <c r="B22" s="525"/>
      <c r="H22" s="193"/>
    </row>
    <row r="23" ht="19.5" customHeight="1">
      <c r="G23" s="511"/>
    </row>
    <row r="24" ht="19.5" customHeight="1">
      <c r="H24" s="193"/>
    </row>
    <row r="25" ht="19.5" customHeight="1"/>
  </sheetData>
  <mergeCells count="6">
    <mergeCell ref="A3:G3"/>
    <mergeCell ref="A4:G4"/>
    <mergeCell ref="A5:G5"/>
    <mergeCell ref="A7:A8"/>
    <mergeCell ref="B7:B8"/>
    <mergeCell ref="C7:C8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78" r:id="rId1"/>
  <headerFooter alignWithMargins="0">
    <oddFooter>&amp;C100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1"/>
  <dimension ref="A1:E50"/>
  <sheetViews>
    <sheetView workbookViewId="0" topLeftCell="A34">
      <selection activeCell="A52" sqref="A52"/>
    </sheetView>
  </sheetViews>
  <sheetFormatPr defaultColWidth="9.140625" defaultRowHeight="12.75"/>
  <cols>
    <col min="1" max="1" width="5.7109375" style="133" customWidth="1"/>
    <col min="2" max="2" width="40.7109375" style="133" customWidth="1"/>
    <col min="3" max="4" width="27.57421875" style="133" customWidth="1"/>
    <col min="5" max="5" width="27.57421875" style="240" customWidth="1"/>
    <col min="6" max="8" width="9.140625" style="133" customWidth="1"/>
    <col min="9" max="9" width="12.8515625" style="536" bestFit="1" customWidth="1"/>
    <col min="10" max="16384" width="9.140625" style="133" customWidth="1"/>
  </cols>
  <sheetData>
    <row r="1" ht="15">
      <c r="A1" s="132" t="s">
        <v>429</v>
      </c>
    </row>
    <row r="3" spans="1:5" ht="15">
      <c r="A3" s="654" t="s">
        <v>550</v>
      </c>
      <c r="B3" s="654"/>
      <c r="C3" s="654"/>
      <c r="D3" s="654"/>
      <c r="E3" s="654"/>
    </row>
    <row r="4" spans="1:5" ht="15.75" customHeight="1">
      <c r="A4" s="553" t="str">
        <f>1!A5</f>
        <v>PROVINSI KALIMANTAN TENGAH</v>
      </c>
      <c r="B4" s="553"/>
      <c r="C4" s="553"/>
      <c r="D4" s="553"/>
      <c r="E4" s="553"/>
    </row>
    <row r="5" spans="1:5" ht="15.75" customHeight="1">
      <c r="A5" s="553" t="str">
        <f>1!A6</f>
        <v>TAHUN 2009</v>
      </c>
      <c r="B5" s="553"/>
      <c r="C5" s="553"/>
      <c r="D5" s="553"/>
      <c r="E5" s="553"/>
    </row>
    <row r="6" spans="1:5" ht="15">
      <c r="A6" s="73"/>
      <c r="B6" s="73"/>
      <c r="C6" s="73"/>
      <c r="D6" s="73"/>
      <c r="E6" s="114"/>
    </row>
    <row r="7" spans="1:5" ht="15" customHeight="1">
      <c r="A7" s="703" t="s">
        <v>2</v>
      </c>
      <c r="B7" s="703" t="s">
        <v>819</v>
      </c>
      <c r="C7" s="704" t="s">
        <v>237</v>
      </c>
      <c r="D7" s="703" t="s">
        <v>127</v>
      </c>
      <c r="E7" s="703"/>
    </row>
    <row r="8" spans="1:5" ht="15" customHeight="1">
      <c r="A8" s="703"/>
      <c r="B8" s="703"/>
      <c r="C8" s="668"/>
      <c r="D8" s="59" t="s">
        <v>21</v>
      </c>
      <c r="E8" s="59" t="s">
        <v>27</v>
      </c>
    </row>
    <row r="9" spans="1:5" ht="12" customHeight="1">
      <c r="A9" s="59">
        <v>1</v>
      </c>
      <c r="B9" s="59">
        <v>2</v>
      </c>
      <c r="C9" s="59">
        <v>3</v>
      </c>
      <c r="D9" s="59">
        <v>4</v>
      </c>
      <c r="E9" s="59">
        <v>5</v>
      </c>
    </row>
    <row r="10" spans="1:5" ht="12" customHeight="1">
      <c r="A10" s="23"/>
      <c r="B10" s="526"/>
      <c r="C10" s="526"/>
      <c r="D10" s="23"/>
      <c r="E10" s="23"/>
    </row>
    <row r="11" spans="1:5" ht="15">
      <c r="A11" s="183">
        <v>1</v>
      </c>
      <c r="B11" s="596" t="s">
        <v>920</v>
      </c>
      <c r="C11" s="532">
        <v>147555</v>
      </c>
      <c r="D11" s="534">
        <v>70843</v>
      </c>
      <c r="E11" s="597">
        <f>(D11/C11)*100</f>
        <v>48.01125004235709</v>
      </c>
    </row>
    <row r="12" spans="1:5" ht="15">
      <c r="A12" s="183">
        <v>2</v>
      </c>
      <c r="B12" s="537" t="s">
        <v>907</v>
      </c>
      <c r="C12" s="532">
        <v>12525</v>
      </c>
      <c r="D12" s="535">
        <v>453701</v>
      </c>
      <c r="E12" s="597">
        <f>D12/C12*100</f>
        <v>3622.363273453094</v>
      </c>
    </row>
    <row r="13" spans="1:5" ht="15">
      <c r="A13" s="183">
        <v>3</v>
      </c>
      <c r="B13" s="537" t="s">
        <v>919</v>
      </c>
      <c r="C13" s="532">
        <v>27601</v>
      </c>
      <c r="D13" s="535">
        <v>33261</v>
      </c>
      <c r="E13" s="598">
        <f>D13/C13*100</f>
        <v>120.50650338755841</v>
      </c>
    </row>
    <row r="14" spans="1:5" ht="15">
      <c r="A14" s="183">
        <v>4</v>
      </c>
      <c r="B14" s="537" t="s">
        <v>921</v>
      </c>
      <c r="C14" s="532">
        <v>4109</v>
      </c>
      <c r="D14" s="535">
        <v>4921</v>
      </c>
      <c r="E14" s="598">
        <f>D14/C14*100</f>
        <v>119.76149914821124</v>
      </c>
    </row>
    <row r="15" spans="1:5" ht="15">
      <c r="A15" s="183">
        <v>5</v>
      </c>
      <c r="B15" s="538" t="s">
        <v>246</v>
      </c>
      <c r="C15" s="532">
        <v>1995</v>
      </c>
      <c r="D15" s="535">
        <v>3544</v>
      </c>
      <c r="E15" s="598">
        <f>D15/C15*100</f>
        <v>177.64411027568923</v>
      </c>
    </row>
    <row r="16" spans="1:5" ht="15">
      <c r="A16" s="183">
        <v>6</v>
      </c>
      <c r="B16" s="537" t="s">
        <v>922</v>
      </c>
      <c r="C16" s="532">
        <v>1071</v>
      </c>
      <c r="D16" s="533">
        <v>1761</v>
      </c>
      <c r="E16" s="598">
        <f aca="true" t="shared" si="0" ref="E16:E46">D16/C16*100</f>
        <v>164.42577030812325</v>
      </c>
    </row>
    <row r="17" spans="1:5" ht="15">
      <c r="A17" s="183">
        <v>7</v>
      </c>
      <c r="B17" s="537" t="s">
        <v>923</v>
      </c>
      <c r="C17" s="532">
        <v>42394</v>
      </c>
      <c r="D17" s="533">
        <v>39494</v>
      </c>
      <c r="E17" s="598">
        <f t="shared" si="0"/>
        <v>93.15940935037978</v>
      </c>
    </row>
    <row r="18" spans="1:5" ht="15">
      <c r="A18" s="183">
        <v>8</v>
      </c>
      <c r="B18" s="537" t="s">
        <v>924</v>
      </c>
      <c r="C18" s="532">
        <v>1549</v>
      </c>
      <c r="D18" s="533">
        <v>3463</v>
      </c>
      <c r="E18" s="598">
        <f t="shared" si="0"/>
        <v>223.5635894125242</v>
      </c>
    </row>
    <row r="19" spans="1:5" ht="15">
      <c r="A19" s="183">
        <v>9</v>
      </c>
      <c r="B19" s="537" t="s">
        <v>925</v>
      </c>
      <c r="C19" s="532">
        <v>1206</v>
      </c>
      <c r="D19" s="533">
        <v>1505</v>
      </c>
      <c r="E19" s="598">
        <f t="shared" si="0"/>
        <v>124.7927031509121</v>
      </c>
    </row>
    <row r="20" spans="1:5" ht="15">
      <c r="A20" s="183">
        <v>10</v>
      </c>
      <c r="B20" s="537" t="s">
        <v>247</v>
      </c>
      <c r="C20" s="532">
        <v>1743</v>
      </c>
      <c r="D20" s="533">
        <v>3493</v>
      </c>
      <c r="E20" s="598">
        <f t="shared" si="0"/>
        <v>200.40160642570282</v>
      </c>
    </row>
    <row r="21" spans="1:5" ht="15">
      <c r="A21" s="183">
        <v>11</v>
      </c>
      <c r="B21" s="537" t="s">
        <v>926</v>
      </c>
      <c r="C21" s="532">
        <v>31380</v>
      </c>
      <c r="D21" s="533">
        <v>27649</v>
      </c>
      <c r="E21" s="598">
        <f t="shared" si="0"/>
        <v>88.11026131293818</v>
      </c>
    </row>
    <row r="22" spans="1:5" ht="15">
      <c r="A22" s="183">
        <v>12</v>
      </c>
      <c r="B22" s="537" t="s">
        <v>248</v>
      </c>
      <c r="C22" s="532">
        <v>2722</v>
      </c>
      <c r="D22" s="533">
        <v>3419</v>
      </c>
      <c r="E22" s="598">
        <f t="shared" si="0"/>
        <v>125.60617193240265</v>
      </c>
    </row>
    <row r="23" spans="1:5" ht="15">
      <c r="A23" s="183">
        <v>13</v>
      </c>
      <c r="B23" s="537" t="s">
        <v>249</v>
      </c>
      <c r="C23" s="532">
        <v>2907</v>
      </c>
      <c r="D23" s="533">
        <v>5596</v>
      </c>
      <c r="E23" s="598">
        <f t="shared" si="0"/>
        <v>192.50085999312006</v>
      </c>
    </row>
    <row r="24" spans="1:5" ht="15">
      <c r="A24" s="183">
        <v>14</v>
      </c>
      <c r="B24" s="537" t="s">
        <v>250</v>
      </c>
      <c r="C24" s="532">
        <v>4681</v>
      </c>
      <c r="D24" s="533">
        <v>4094</v>
      </c>
      <c r="E24" s="598">
        <f t="shared" si="0"/>
        <v>87.45994445631275</v>
      </c>
    </row>
    <row r="25" spans="1:5" ht="15">
      <c r="A25" s="183">
        <v>15</v>
      </c>
      <c r="B25" s="537" t="s">
        <v>927</v>
      </c>
      <c r="C25" s="532">
        <v>8501</v>
      </c>
      <c r="D25" s="533">
        <v>9031</v>
      </c>
      <c r="E25" s="598">
        <f t="shared" si="0"/>
        <v>106.23456063992471</v>
      </c>
    </row>
    <row r="26" spans="1:5" ht="15">
      <c r="A26" s="183">
        <v>16</v>
      </c>
      <c r="B26" s="537" t="s">
        <v>928</v>
      </c>
      <c r="C26" s="532">
        <v>22610</v>
      </c>
      <c r="D26" s="533">
        <v>11560</v>
      </c>
      <c r="E26" s="598">
        <f t="shared" si="0"/>
        <v>51.127819548872175</v>
      </c>
    </row>
    <row r="27" spans="1:5" ht="15">
      <c r="A27" s="183">
        <v>17</v>
      </c>
      <c r="B27" s="537" t="s">
        <v>929</v>
      </c>
      <c r="C27" s="532">
        <v>7108</v>
      </c>
      <c r="D27" s="533">
        <v>16660</v>
      </c>
      <c r="E27" s="598">
        <f t="shared" si="0"/>
        <v>234.38379290939787</v>
      </c>
    </row>
    <row r="28" spans="1:5" ht="15">
      <c r="A28" s="183">
        <v>18</v>
      </c>
      <c r="B28" s="537" t="s">
        <v>930</v>
      </c>
      <c r="C28" s="532">
        <v>39234</v>
      </c>
      <c r="D28" s="533">
        <v>26094</v>
      </c>
      <c r="E28" s="598">
        <f t="shared" si="0"/>
        <v>66.5086404649029</v>
      </c>
    </row>
    <row r="29" spans="1:5" ht="15">
      <c r="A29" s="183">
        <v>19</v>
      </c>
      <c r="B29" s="537" t="s">
        <v>931</v>
      </c>
      <c r="C29" s="532">
        <v>0</v>
      </c>
      <c r="D29" s="533">
        <v>11066</v>
      </c>
      <c r="E29" s="598">
        <v>0</v>
      </c>
    </row>
    <row r="30" spans="1:5" ht="15">
      <c r="A30" s="183">
        <v>20</v>
      </c>
      <c r="B30" s="537" t="s">
        <v>932</v>
      </c>
      <c r="C30" s="532">
        <v>0</v>
      </c>
      <c r="D30" s="533">
        <v>12495</v>
      </c>
      <c r="E30" s="598">
        <v>0</v>
      </c>
    </row>
    <row r="31" spans="1:5" ht="15">
      <c r="A31" s="183">
        <v>21</v>
      </c>
      <c r="B31" s="537" t="s">
        <v>251</v>
      </c>
      <c r="C31" s="532">
        <v>856</v>
      </c>
      <c r="D31" s="533">
        <v>1347</v>
      </c>
      <c r="E31" s="598">
        <f t="shared" si="0"/>
        <v>157.35981308411215</v>
      </c>
    </row>
    <row r="32" spans="1:5" ht="15">
      <c r="A32" s="183"/>
      <c r="B32" s="537"/>
      <c r="C32" s="532"/>
      <c r="D32" s="533"/>
      <c r="E32" s="598"/>
    </row>
    <row r="33" spans="1:5" ht="15">
      <c r="A33" s="183"/>
      <c r="B33" s="537" t="s">
        <v>933</v>
      </c>
      <c r="C33" s="532"/>
      <c r="D33" s="533"/>
      <c r="E33" s="598"/>
    </row>
    <row r="34" spans="1:5" ht="15">
      <c r="A34" s="183">
        <v>22</v>
      </c>
      <c r="B34" s="537" t="s">
        <v>934</v>
      </c>
      <c r="C34" s="532">
        <v>3684</v>
      </c>
      <c r="D34" s="533">
        <v>1597</v>
      </c>
      <c r="E34" s="598">
        <f t="shared" si="0"/>
        <v>43.34961997828447</v>
      </c>
    </row>
    <row r="35" spans="1:5" ht="15">
      <c r="A35" s="183">
        <v>23</v>
      </c>
      <c r="B35" s="537" t="s">
        <v>935</v>
      </c>
      <c r="C35" s="532">
        <v>0</v>
      </c>
      <c r="D35" s="533">
        <v>1481</v>
      </c>
      <c r="E35" s="598">
        <v>0</v>
      </c>
    </row>
    <row r="36" spans="1:5" ht="15">
      <c r="A36" s="183">
        <v>24</v>
      </c>
      <c r="B36" s="537" t="s">
        <v>936</v>
      </c>
      <c r="C36" s="532">
        <v>0</v>
      </c>
      <c r="D36" s="533">
        <v>7067</v>
      </c>
      <c r="E36" s="598">
        <v>0</v>
      </c>
    </row>
    <row r="37" spans="1:5" ht="15">
      <c r="A37" s="183">
        <v>25</v>
      </c>
      <c r="B37" s="537" t="s">
        <v>937</v>
      </c>
      <c r="C37" s="532">
        <v>4493</v>
      </c>
      <c r="D37" s="533">
        <v>8222</v>
      </c>
      <c r="E37" s="598">
        <f t="shared" si="0"/>
        <v>182.9957711996439</v>
      </c>
    </row>
    <row r="38" spans="1:5" ht="15">
      <c r="A38" s="183">
        <v>26</v>
      </c>
      <c r="B38" s="537" t="s">
        <v>938</v>
      </c>
      <c r="C38" s="532">
        <v>0</v>
      </c>
      <c r="D38" s="533">
        <v>672</v>
      </c>
      <c r="E38" s="598">
        <v>0</v>
      </c>
    </row>
    <row r="39" spans="1:5" ht="15">
      <c r="A39" s="183">
        <v>27</v>
      </c>
      <c r="B39" s="537" t="s">
        <v>939</v>
      </c>
      <c r="C39" s="532">
        <v>0</v>
      </c>
      <c r="D39" s="533">
        <v>0</v>
      </c>
      <c r="E39" s="598">
        <v>0</v>
      </c>
    </row>
    <row r="40" spans="1:5" ht="15">
      <c r="A40" s="183">
        <v>28</v>
      </c>
      <c r="B40" s="537" t="s">
        <v>940</v>
      </c>
      <c r="C40" s="532">
        <v>0</v>
      </c>
      <c r="D40" s="533">
        <v>598</v>
      </c>
      <c r="E40" s="598">
        <v>0</v>
      </c>
    </row>
    <row r="41" spans="1:5" ht="15">
      <c r="A41" s="183">
        <v>29</v>
      </c>
      <c r="B41" s="537" t="s">
        <v>941</v>
      </c>
      <c r="C41" s="532">
        <v>0</v>
      </c>
      <c r="D41" s="533">
        <v>23</v>
      </c>
      <c r="E41" s="598">
        <v>0</v>
      </c>
    </row>
    <row r="42" spans="1:5" ht="15">
      <c r="A42" s="183">
        <v>30</v>
      </c>
      <c r="B42" s="537" t="s">
        <v>942</v>
      </c>
      <c r="C42" s="532">
        <v>0</v>
      </c>
      <c r="D42" s="533">
        <v>8</v>
      </c>
      <c r="E42" s="598">
        <v>0</v>
      </c>
    </row>
    <row r="43" spans="1:5" ht="15">
      <c r="A43" s="183">
        <v>31</v>
      </c>
      <c r="B43" s="537" t="s">
        <v>943</v>
      </c>
      <c r="C43" s="532">
        <v>0</v>
      </c>
      <c r="D43" s="533">
        <v>0</v>
      </c>
      <c r="E43" s="598">
        <v>0</v>
      </c>
    </row>
    <row r="44" spans="1:5" ht="15">
      <c r="A44" s="183">
        <v>32</v>
      </c>
      <c r="B44" s="537" t="s">
        <v>944</v>
      </c>
      <c r="C44" s="532">
        <v>0</v>
      </c>
      <c r="D44" s="533">
        <v>62</v>
      </c>
      <c r="E44" s="598">
        <v>0</v>
      </c>
    </row>
    <row r="45" spans="1:5" ht="15">
      <c r="A45" s="183">
        <v>33</v>
      </c>
      <c r="B45" s="537" t="s">
        <v>945</v>
      </c>
      <c r="C45" s="532">
        <v>2130</v>
      </c>
      <c r="D45" s="533">
        <v>1345</v>
      </c>
      <c r="E45" s="598">
        <f t="shared" si="0"/>
        <v>63.14553990610329</v>
      </c>
    </row>
    <row r="46" spans="1:5" ht="15.75" thickBot="1">
      <c r="A46" s="237">
        <v>34</v>
      </c>
      <c r="B46" s="543" t="s">
        <v>946</v>
      </c>
      <c r="C46" s="544">
        <v>3739</v>
      </c>
      <c r="D46" s="545">
        <v>2405</v>
      </c>
      <c r="E46" s="599">
        <f t="shared" si="0"/>
        <v>64.32201123294999</v>
      </c>
    </row>
    <row r="47" spans="1:5" ht="15">
      <c r="A47" s="553"/>
      <c r="B47" s="553"/>
      <c r="C47" s="114"/>
      <c r="D47" s="114"/>
      <c r="E47" s="114"/>
    </row>
    <row r="48" ht="15">
      <c r="A48" s="133" t="s">
        <v>956</v>
      </c>
    </row>
    <row r="49" ht="15">
      <c r="A49" s="133" t="s">
        <v>715</v>
      </c>
    </row>
    <row r="50" ht="15">
      <c r="B50" s="133" t="s">
        <v>820</v>
      </c>
    </row>
  </sheetData>
  <mergeCells count="8">
    <mergeCell ref="A3:E3"/>
    <mergeCell ref="A4:E4"/>
    <mergeCell ref="A5:E5"/>
    <mergeCell ref="A47:B47"/>
    <mergeCell ref="A7:A8"/>
    <mergeCell ref="B7:B8"/>
    <mergeCell ref="C7:C8"/>
    <mergeCell ref="D7:E7"/>
  </mergeCells>
  <printOptions horizontalCentered="1"/>
  <pageMargins left="0.9055118110236221" right="0.5118110236220472" top="0.7874015748031497" bottom="0.9055118110236221" header="0" footer="1.1811023622047245"/>
  <pageSetup horizontalDpi="300" verticalDpi="300" orientation="portrait" paperSize="9" scale="65" r:id="rId1"/>
  <headerFooter alignWithMargins="0">
    <oddFooter>&amp;C101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E28"/>
  <sheetViews>
    <sheetView zoomScale="75" zoomScaleNormal="75" workbookViewId="0" topLeftCell="A1">
      <selection activeCell="F16" sqref="F16"/>
    </sheetView>
  </sheetViews>
  <sheetFormatPr defaultColWidth="9.140625" defaultRowHeight="12.75"/>
  <cols>
    <col min="1" max="1" width="5.7109375" style="81" customWidth="1"/>
    <col min="2" max="2" width="37.7109375" style="81" customWidth="1"/>
    <col min="3" max="5" width="20.7109375" style="81" customWidth="1"/>
    <col min="6" max="16384" width="9.140625" style="81" customWidth="1"/>
  </cols>
  <sheetData>
    <row r="1" spans="1:2" ht="21" customHeight="1">
      <c r="A1" s="583" t="s">
        <v>454</v>
      </c>
      <c r="B1" s="584"/>
    </row>
    <row r="2" spans="1:5" ht="18.75" customHeight="1">
      <c r="A2" s="585" t="s">
        <v>830</v>
      </c>
      <c r="B2" s="585"/>
      <c r="C2" s="585"/>
      <c r="D2" s="585"/>
      <c r="E2" s="585"/>
    </row>
    <row r="3" spans="1:5" ht="18.75" customHeight="1">
      <c r="A3" s="642" t="str">
        <f>1!A5</f>
        <v>PROVINSI KALIMANTAN TENGAH</v>
      </c>
      <c r="B3" s="642"/>
      <c r="C3" s="642"/>
      <c r="D3" s="642"/>
      <c r="E3" s="642"/>
    </row>
    <row r="4" spans="1:5" ht="15">
      <c r="A4" s="642" t="str">
        <f>1!A6</f>
        <v>TAHUN 2009</v>
      </c>
      <c r="B4" s="642"/>
      <c r="C4" s="642"/>
      <c r="D4" s="642"/>
      <c r="E4" s="642"/>
    </row>
    <row r="5" spans="1:5" ht="15">
      <c r="A5" s="9"/>
      <c r="B5" s="9"/>
      <c r="C5" s="9"/>
      <c r="D5" s="9"/>
      <c r="E5" s="9"/>
    </row>
    <row r="6" spans="1:5" ht="15.75" thickBot="1">
      <c r="A6" s="82"/>
      <c r="B6" s="83"/>
      <c r="C6" s="83"/>
      <c r="D6" s="83"/>
      <c r="E6" s="83"/>
    </row>
    <row r="7" spans="1:5" ht="25.5" customHeight="1">
      <c r="A7" s="615" t="s">
        <v>2</v>
      </c>
      <c r="B7" s="615" t="s">
        <v>844</v>
      </c>
      <c r="C7" s="582" t="s">
        <v>210</v>
      </c>
      <c r="D7" s="586"/>
      <c r="E7" s="587"/>
    </row>
    <row r="8" spans="1:5" ht="30">
      <c r="A8" s="616"/>
      <c r="B8" s="616"/>
      <c r="C8" s="123" t="s">
        <v>260</v>
      </c>
      <c r="D8" s="256" t="s">
        <v>218</v>
      </c>
      <c r="E8" s="124" t="s">
        <v>27</v>
      </c>
    </row>
    <row r="9" spans="1:5" ht="15">
      <c r="A9" s="518">
        <v>1</v>
      </c>
      <c r="B9" s="244">
        <v>2</v>
      </c>
      <c r="C9" s="244">
        <v>4</v>
      </c>
      <c r="D9" s="244">
        <v>5</v>
      </c>
      <c r="E9" s="244">
        <v>6</v>
      </c>
    </row>
    <row r="10" spans="1:5" ht="15">
      <c r="A10" s="487">
        <f>6!A11</f>
        <v>1</v>
      </c>
      <c r="B10" s="85" t="str">
        <f>6!B11</f>
        <v>Kotawaringin Barat</v>
      </c>
      <c r="C10" s="125">
        <v>2586</v>
      </c>
      <c r="D10" s="125">
        <v>1277</v>
      </c>
      <c r="E10" s="126">
        <f>D10/C10*100</f>
        <v>49.38128383604022</v>
      </c>
    </row>
    <row r="11" spans="1:5" ht="15">
      <c r="A11" s="487">
        <f>6!A12</f>
        <v>2</v>
      </c>
      <c r="B11" s="85" t="str">
        <f>6!B12</f>
        <v>Lamandau</v>
      </c>
      <c r="C11" s="125">
        <v>0</v>
      </c>
      <c r="D11" s="125">
        <v>0</v>
      </c>
      <c r="E11" s="125">
        <v>0</v>
      </c>
    </row>
    <row r="12" spans="1:5" ht="15">
      <c r="A12" s="487">
        <f>6!A13</f>
        <v>3</v>
      </c>
      <c r="B12" s="85" t="str">
        <f>6!B13</f>
        <v>Sukamara</v>
      </c>
      <c r="C12" s="125">
        <v>1431</v>
      </c>
      <c r="D12" s="125">
        <v>666</v>
      </c>
      <c r="E12" s="126">
        <f aca="true" t="shared" si="0" ref="E12:E25">D12/C12*100</f>
        <v>46.540880503144656</v>
      </c>
    </row>
    <row r="13" spans="1:5" ht="15">
      <c r="A13" s="487">
        <f>6!A14</f>
        <v>4</v>
      </c>
      <c r="B13" s="85" t="str">
        <f>6!B14</f>
        <v>Kotawaringin Timur</v>
      </c>
      <c r="C13" s="125">
        <v>2078</v>
      </c>
      <c r="D13" s="125">
        <v>816</v>
      </c>
      <c r="E13" s="126">
        <f t="shared" si="0"/>
        <v>39.26852743022137</v>
      </c>
    </row>
    <row r="14" spans="1:5" ht="15">
      <c r="A14" s="487">
        <f>6!A15</f>
        <v>5</v>
      </c>
      <c r="B14" s="85" t="str">
        <f>6!B15</f>
        <v>Seruyan</v>
      </c>
      <c r="C14" s="125">
        <v>0</v>
      </c>
      <c r="D14" s="125">
        <v>0</v>
      </c>
      <c r="E14" s="125">
        <v>0</v>
      </c>
    </row>
    <row r="15" spans="1:5" ht="15">
      <c r="A15" s="487">
        <f>6!A16</f>
        <v>6</v>
      </c>
      <c r="B15" s="85" t="str">
        <f>6!B16</f>
        <v>Katingan</v>
      </c>
      <c r="C15" s="492">
        <v>0</v>
      </c>
      <c r="D15" s="492">
        <v>0</v>
      </c>
      <c r="E15" s="125">
        <v>0</v>
      </c>
    </row>
    <row r="16" spans="1:5" ht="15">
      <c r="A16" s="487">
        <f>6!A17</f>
        <v>7</v>
      </c>
      <c r="B16" s="85" t="str">
        <f>6!B17</f>
        <v>Kapuas</v>
      </c>
      <c r="C16" s="492">
        <v>0</v>
      </c>
      <c r="D16" s="492">
        <v>0</v>
      </c>
      <c r="E16" s="125">
        <v>0</v>
      </c>
    </row>
    <row r="17" spans="1:5" ht="15">
      <c r="A17" s="487">
        <f>6!A18</f>
        <v>8</v>
      </c>
      <c r="B17" s="85" t="str">
        <f>6!B18</f>
        <v>Pulang Pisau</v>
      </c>
      <c r="C17" s="125">
        <v>50</v>
      </c>
      <c r="D17" s="125">
        <v>10</v>
      </c>
      <c r="E17" s="126">
        <f t="shared" si="0"/>
        <v>20</v>
      </c>
    </row>
    <row r="18" spans="1:5" ht="15">
      <c r="A18" s="487">
        <f>6!A19</f>
        <v>9</v>
      </c>
      <c r="B18" s="85" t="str">
        <f>6!B19</f>
        <v>Gunung Mas</v>
      </c>
      <c r="C18" s="125">
        <v>30</v>
      </c>
      <c r="D18" s="125">
        <v>18</v>
      </c>
      <c r="E18" s="126">
        <f t="shared" si="0"/>
        <v>60</v>
      </c>
    </row>
    <row r="19" spans="1:5" ht="15">
      <c r="A19" s="487">
        <f>6!A20</f>
        <v>10</v>
      </c>
      <c r="B19" s="85" t="str">
        <f>6!B20</f>
        <v>Barito Selatan</v>
      </c>
      <c r="C19" s="125">
        <v>360</v>
      </c>
      <c r="D19" s="125">
        <v>63</v>
      </c>
      <c r="E19" s="126">
        <f t="shared" si="0"/>
        <v>17.5</v>
      </c>
    </row>
    <row r="20" spans="1:5" ht="15">
      <c r="A20" s="487">
        <f>6!A21</f>
        <v>11</v>
      </c>
      <c r="B20" s="85" t="str">
        <f>6!B21</f>
        <v>Barito Timur</v>
      </c>
      <c r="C20" s="125">
        <v>8984</v>
      </c>
      <c r="D20" s="125">
        <v>4370</v>
      </c>
      <c r="E20" s="126">
        <f t="shared" si="0"/>
        <v>48.642030276046306</v>
      </c>
    </row>
    <row r="21" spans="1:5" ht="15">
      <c r="A21" s="487">
        <f>6!A22</f>
        <v>12</v>
      </c>
      <c r="B21" s="85" t="str">
        <f>6!B22</f>
        <v>Barito Utara</v>
      </c>
      <c r="C21" s="125">
        <v>2829</v>
      </c>
      <c r="D21" s="125">
        <v>1342</v>
      </c>
      <c r="E21" s="126">
        <f t="shared" si="0"/>
        <v>47.43725698126546</v>
      </c>
    </row>
    <row r="22" spans="1:5" ht="15">
      <c r="A22" s="487">
        <f>6!A23</f>
        <v>13</v>
      </c>
      <c r="B22" s="85" t="str">
        <f>6!B23</f>
        <v>Murung Raya</v>
      </c>
      <c r="C22" s="125">
        <v>5092</v>
      </c>
      <c r="D22" s="125">
        <v>3018</v>
      </c>
      <c r="E22" s="126">
        <f t="shared" si="0"/>
        <v>59.26944226237235</v>
      </c>
    </row>
    <row r="23" spans="1:5" ht="15">
      <c r="A23" s="487">
        <f>6!A24</f>
        <v>14</v>
      </c>
      <c r="B23" s="85" t="str">
        <f>6!B24</f>
        <v>Palangka Raya</v>
      </c>
      <c r="C23" s="125">
        <v>4245</v>
      </c>
      <c r="D23" s="125">
        <v>2850</v>
      </c>
      <c r="E23" s="126">
        <f t="shared" si="0"/>
        <v>67.13780918727915</v>
      </c>
    </row>
    <row r="24" spans="1:5" ht="15">
      <c r="A24" s="129"/>
      <c r="B24" s="129"/>
      <c r="C24" s="127"/>
      <c r="D24" s="127"/>
      <c r="E24" s="126"/>
    </row>
    <row r="25" spans="1:5" ht="19.5" customHeight="1" thickBot="1">
      <c r="A25" s="165" t="s">
        <v>859</v>
      </c>
      <c r="B25" s="121"/>
      <c r="C25" s="41">
        <f>SUM(C10:C24)</f>
        <v>27685</v>
      </c>
      <c r="D25" s="41">
        <f>SUM(D10:D24)</f>
        <v>14430</v>
      </c>
      <c r="E25" s="245">
        <f t="shared" si="0"/>
        <v>52.12208777316236</v>
      </c>
    </row>
    <row r="26" spans="1:2" ht="14.25" customHeight="1">
      <c r="A26" s="584" t="s">
        <v>243</v>
      </c>
      <c r="B26" s="584"/>
    </row>
    <row r="28" ht="15">
      <c r="E28" s="511"/>
    </row>
  </sheetData>
  <mergeCells count="8">
    <mergeCell ref="A26:B26"/>
    <mergeCell ref="A1:B1"/>
    <mergeCell ref="A7:A8"/>
    <mergeCell ref="B7:B8"/>
    <mergeCell ref="A3:E3"/>
    <mergeCell ref="A4:E4"/>
    <mergeCell ref="C7:E7"/>
    <mergeCell ref="A2:E2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r:id="rId1"/>
  <headerFooter alignWithMargins="0">
    <oddFooter>&amp;C102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M29"/>
  <sheetViews>
    <sheetView zoomScale="75" zoomScaleNormal="75" workbookViewId="0" topLeftCell="A1">
      <selection activeCell="A4" sqref="A4:M4"/>
    </sheetView>
  </sheetViews>
  <sheetFormatPr defaultColWidth="9.140625" defaultRowHeight="12.75"/>
  <cols>
    <col min="1" max="1" width="5.7109375" style="14" customWidth="1"/>
    <col min="2" max="2" width="24.57421875" style="14" customWidth="1"/>
    <col min="3" max="13" width="12.7109375" style="14" customWidth="1"/>
    <col min="14" max="16384" width="9.140625" style="14" customWidth="1"/>
  </cols>
  <sheetData>
    <row r="1" ht="15">
      <c r="A1" s="13" t="s">
        <v>455</v>
      </c>
    </row>
    <row r="3" spans="1:13" ht="15">
      <c r="A3" s="641" t="s">
        <v>889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</row>
    <row r="4" spans="1:13" ht="15">
      <c r="A4" s="641" t="str">
        <f>1!A5</f>
        <v>PROVINSI KALIMANTAN TENGAH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</row>
    <row r="5" spans="1:13" ht="15">
      <c r="A5" s="641" t="str">
        <f>1!A6</f>
        <v>TAHUN 2009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</row>
    <row r="6" spans="1:13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9.5" customHeight="1">
      <c r="A8" s="634" t="s">
        <v>2</v>
      </c>
      <c r="B8" s="637" t="s">
        <v>844</v>
      </c>
      <c r="C8" s="44" t="s">
        <v>441</v>
      </c>
      <c r="D8" s="44"/>
      <c r="E8" s="44"/>
      <c r="F8" s="44"/>
      <c r="G8" s="44"/>
      <c r="H8" s="44" t="s">
        <v>442</v>
      </c>
      <c r="I8" s="44"/>
      <c r="J8" s="44"/>
      <c r="K8" s="44"/>
      <c r="L8" s="44"/>
      <c r="M8" s="257" t="s">
        <v>27</v>
      </c>
    </row>
    <row r="9" spans="1:13" ht="28.5">
      <c r="A9" s="636"/>
      <c r="B9" s="707"/>
      <c r="C9" s="194" t="s">
        <v>34</v>
      </c>
      <c r="D9" s="194" t="s">
        <v>35</v>
      </c>
      <c r="E9" s="194" t="s">
        <v>28</v>
      </c>
      <c r="F9" s="194" t="s">
        <v>29</v>
      </c>
      <c r="G9" s="194" t="s">
        <v>21</v>
      </c>
      <c r="H9" s="194" t="s">
        <v>34</v>
      </c>
      <c r="I9" s="194" t="s">
        <v>35</v>
      </c>
      <c r="J9" s="194" t="s">
        <v>28</v>
      </c>
      <c r="K9" s="194" t="s">
        <v>29</v>
      </c>
      <c r="L9" s="194" t="s">
        <v>21</v>
      </c>
      <c r="M9" s="261" t="s">
        <v>443</v>
      </c>
    </row>
    <row r="10" spans="1:13" ht="15">
      <c r="A10" s="157">
        <v>1</v>
      </c>
      <c r="B10" s="61">
        <v>2</v>
      </c>
      <c r="C10" s="61">
        <v>4</v>
      </c>
      <c r="D10" s="210">
        <v>5</v>
      </c>
      <c r="E10" s="61">
        <v>6</v>
      </c>
      <c r="F10" s="210">
        <v>7</v>
      </c>
      <c r="G10" s="61">
        <v>8</v>
      </c>
      <c r="H10" s="210">
        <v>9</v>
      </c>
      <c r="I10" s="61">
        <v>10</v>
      </c>
      <c r="J10" s="210">
        <v>11</v>
      </c>
      <c r="K10" s="61">
        <v>12</v>
      </c>
      <c r="L10" s="210">
        <v>13</v>
      </c>
      <c r="M10" s="61">
        <v>14</v>
      </c>
    </row>
    <row r="11" spans="1:13" ht="15">
      <c r="A11" s="138">
        <f>6!A11</f>
        <v>1</v>
      </c>
      <c r="B11" s="98" t="str">
        <f>6!B11</f>
        <v>Kotawaringin Barat</v>
      </c>
      <c r="C11" s="31">
        <v>54</v>
      </c>
      <c r="D11" s="258">
        <v>45</v>
      </c>
      <c r="E11" s="31">
        <v>33</v>
      </c>
      <c r="F11" s="258">
        <v>27</v>
      </c>
      <c r="G11" s="258">
        <f>SUM(C11:F11)</f>
        <v>159</v>
      </c>
      <c r="H11" s="198">
        <f>C11/$G$11*100</f>
        <v>33.9622641509434</v>
      </c>
      <c r="I11" s="198">
        <f>D11/$G$11*100</f>
        <v>28.30188679245283</v>
      </c>
      <c r="J11" s="198">
        <f>E11/$G$11*100</f>
        <v>20.754716981132077</v>
      </c>
      <c r="K11" s="198">
        <f>F11/$G$11*100</f>
        <v>16.9811320754717</v>
      </c>
      <c r="L11" s="258">
        <f aca="true" t="shared" si="0" ref="L11:L26">SUM(H11:K11)</f>
        <v>100</v>
      </c>
      <c r="M11" s="259">
        <f>SUM(J11:K11)</f>
        <v>37.735849056603776</v>
      </c>
    </row>
    <row r="12" spans="1:13" ht="15">
      <c r="A12" s="138">
        <f>6!A12</f>
        <v>2</v>
      </c>
      <c r="B12" s="98" t="str">
        <f>6!B12</f>
        <v>Lamandau</v>
      </c>
      <c r="C12" s="31">
        <v>87</v>
      </c>
      <c r="D12" s="258">
        <v>0</v>
      </c>
      <c r="E12" s="31">
        <v>0</v>
      </c>
      <c r="F12" s="258">
        <v>0</v>
      </c>
      <c r="G12" s="258">
        <f aca="true" t="shared" si="1" ref="G12:G24">SUM(C12:F12)</f>
        <v>87</v>
      </c>
      <c r="H12" s="198">
        <f>C12/$G$12*100</f>
        <v>100</v>
      </c>
      <c r="I12" s="198">
        <f>D12/$G$12*100</f>
        <v>0</v>
      </c>
      <c r="J12" s="198">
        <f>E12/$G$12*100</f>
        <v>0</v>
      </c>
      <c r="K12" s="198">
        <f>F12/$G$12*100</f>
        <v>0</v>
      </c>
      <c r="L12" s="258">
        <f t="shared" si="0"/>
        <v>100</v>
      </c>
      <c r="M12" s="259">
        <f aca="true" t="shared" si="2" ref="M12:M26">SUM(J12:K12)</f>
        <v>0</v>
      </c>
    </row>
    <row r="13" spans="1:13" ht="15">
      <c r="A13" s="138">
        <f>6!A13</f>
        <v>3</v>
      </c>
      <c r="B13" s="98" t="str">
        <f>6!B13</f>
        <v>Sukamara</v>
      </c>
      <c r="C13" s="31">
        <v>39</v>
      </c>
      <c r="D13" s="258">
        <v>6</v>
      </c>
      <c r="E13" s="31">
        <v>0</v>
      </c>
      <c r="F13" s="258">
        <v>0</v>
      </c>
      <c r="G13" s="258">
        <f t="shared" si="1"/>
        <v>45</v>
      </c>
      <c r="H13" s="198">
        <f>C13/$G$13*100</f>
        <v>86.66666666666667</v>
      </c>
      <c r="I13" s="198">
        <f>D13/$G$13*100</f>
        <v>13.333333333333334</v>
      </c>
      <c r="J13" s="198">
        <f>E13/$G$13*100</f>
        <v>0</v>
      </c>
      <c r="K13" s="198">
        <f>F13/$G$13*100</f>
        <v>0</v>
      </c>
      <c r="L13" s="258">
        <f t="shared" si="0"/>
        <v>100</v>
      </c>
      <c r="M13" s="259">
        <f t="shared" si="2"/>
        <v>0</v>
      </c>
    </row>
    <row r="14" spans="1:13" ht="15">
      <c r="A14" s="138">
        <f>6!A14</f>
        <v>4</v>
      </c>
      <c r="B14" s="98" t="str">
        <f>6!B14</f>
        <v>Kotawaringin Timur</v>
      </c>
      <c r="C14" s="31">
        <v>149</v>
      </c>
      <c r="D14" s="258">
        <v>99</v>
      </c>
      <c r="E14" s="31">
        <v>14</v>
      </c>
      <c r="F14" s="258">
        <v>0</v>
      </c>
      <c r="G14" s="258">
        <f t="shared" si="1"/>
        <v>262</v>
      </c>
      <c r="H14" s="198">
        <f>C14/$G$14*100</f>
        <v>56.87022900763359</v>
      </c>
      <c r="I14" s="198">
        <f>D14/$G$14*100</f>
        <v>37.786259541984734</v>
      </c>
      <c r="J14" s="198">
        <f>E14/$G$14*100</f>
        <v>5.343511450381679</v>
      </c>
      <c r="K14" s="198">
        <f>F14/$G$14*100</f>
        <v>0</v>
      </c>
      <c r="L14" s="258">
        <f t="shared" si="0"/>
        <v>100.00000000000001</v>
      </c>
      <c r="M14" s="259">
        <f t="shared" si="2"/>
        <v>5.343511450381679</v>
      </c>
    </row>
    <row r="15" spans="1:13" ht="15">
      <c r="A15" s="138">
        <f>6!A15</f>
        <v>5</v>
      </c>
      <c r="B15" s="98" t="str">
        <f>6!B15</f>
        <v>Seruyan</v>
      </c>
      <c r="C15" s="31">
        <v>12</v>
      </c>
      <c r="D15" s="258">
        <v>84</v>
      </c>
      <c r="E15" s="31">
        <v>0</v>
      </c>
      <c r="F15" s="258">
        <v>0</v>
      </c>
      <c r="G15" s="258">
        <f t="shared" si="1"/>
        <v>96</v>
      </c>
      <c r="H15" s="198">
        <f>C15/$G$15*100</f>
        <v>12.5</v>
      </c>
      <c r="I15" s="198">
        <f>D15/$G$15*100</f>
        <v>87.5</v>
      </c>
      <c r="J15" s="198">
        <f>E15/$G$15*100</f>
        <v>0</v>
      </c>
      <c r="K15" s="198">
        <f>F15/$G$15*100</f>
        <v>0</v>
      </c>
      <c r="L15" s="258">
        <f t="shared" si="0"/>
        <v>100</v>
      </c>
      <c r="M15" s="259">
        <f t="shared" si="2"/>
        <v>0</v>
      </c>
    </row>
    <row r="16" spans="1:13" ht="15">
      <c r="A16" s="138">
        <f>6!A16</f>
        <v>6</v>
      </c>
      <c r="B16" s="98" t="str">
        <f>6!B16</f>
        <v>Katingan</v>
      </c>
      <c r="C16" s="31">
        <v>82</v>
      </c>
      <c r="D16" s="258">
        <v>99</v>
      </c>
      <c r="E16" s="31">
        <v>11</v>
      </c>
      <c r="F16" s="258">
        <v>1</v>
      </c>
      <c r="G16" s="258">
        <f t="shared" si="1"/>
        <v>193</v>
      </c>
      <c r="H16" s="198">
        <f>C16/$G$16*100</f>
        <v>42.487046632124354</v>
      </c>
      <c r="I16" s="198">
        <f>D16/$G$16*100</f>
        <v>51.29533678756477</v>
      </c>
      <c r="J16" s="198">
        <f>E16/$G$16*100</f>
        <v>5.699481865284974</v>
      </c>
      <c r="K16" s="198">
        <f>F16/$G$16*100</f>
        <v>0.5181347150259068</v>
      </c>
      <c r="L16" s="258">
        <f t="shared" si="0"/>
        <v>100.00000000000001</v>
      </c>
      <c r="M16" s="259">
        <f t="shared" si="2"/>
        <v>6.217616580310881</v>
      </c>
    </row>
    <row r="17" spans="1:13" ht="15">
      <c r="A17" s="138">
        <f>6!A17</f>
        <v>7</v>
      </c>
      <c r="B17" s="98" t="str">
        <f>6!B17</f>
        <v>Kapuas</v>
      </c>
      <c r="C17" s="31">
        <v>263</v>
      </c>
      <c r="D17" s="258">
        <v>56</v>
      </c>
      <c r="E17" s="31">
        <v>9</v>
      </c>
      <c r="F17" s="258">
        <v>1</v>
      </c>
      <c r="G17" s="258">
        <f t="shared" si="1"/>
        <v>329</v>
      </c>
      <c r="H17" s="198">
        <f>C17/$G$17*100</f>
        <v>79.93920972644378</v>
      </c>
      <c r="I17" s="198">
        <f>D17/$G$17*100</f>
        <v>17.02127659574468</v>
      </c>
      <c r="J17" s="198">
        <f>E17/$G$17*100</f>
        <v>2.735562310030395</v>
      </c>
      <c r="K17" s="198">
        <f>F17/$G$17*100</f>
        <v>0.303951367781155</v>
      </c>
      <c r="L17" s="258">
        <f t="shared" si="0"/>
        <v>100</v>
      </c>
      <c r="M17" s="259">
        <f t="shared" si="2"/>
        <v>3.03951367781155</v>
      </c>
    </row>
    <row r="18" spans="1:13" ht="15">
      <c r="A18" s="138">
        <f>6!A18</f>
        <v>8</v>
      </c>
      <c r="B18" s="98" t="str">
        <f>6!B18</f>
        <v>Pulang Pisau</v>
      </c>
      <c r="C18" s="31">
        <v>116</v>
      </c>
      <c r="D18" s="258">
        <v>35</v>
      </c>
      <c r="E18" s="31">
        <v>5</v>
      </c>
      <c r="F18" s="258">
        <v>1</v>
      </c>
      <c r="G18" s="258">
        <f t="shared" si="1"/>
        <v>157</v>
      </c>
      <c r="H18" s="198">
        <f>C18/$G$18*100</f>
        <v>73.88535031847134</v>
      </c>
      <c r="I18" s="198">
        <f>D18/$G$18*100</f>
        <v>22.29299363057325</v>
      </c>
      <c r="J18" s="198">
        <f>E18/$G$18*100</f>
        <v>3.1847133757961785</v>
      </c>
      <c r="K18" s="198">
        <f>F18/$G$18*100</f>
        <v>0.6369426751592357</v>
      </c>
      <c r="L18" s="258">
        <f t="shared" si="0"/>
        <v>100</v>
      </c>
      <c r="M18" s="259">
        <f t="shared" si="2"/>
        <v>3.821656050955414</v>
      </c>
    </row>
    <row r="19" spans="1:13" ht="15">
      <c r="A19" s="138">
        <f>6!A19</f>
        <v>9</v>
      </c>
      <c r="B19" s="98" t="str">
        <f>6!B19</f>
        <v>Gunung Mas</v>
      </c>
      <c r="C19" s="31">
        <v>130</v>
      </c>
      <c r="D19" s="258">
        <v>8</v>
      </c>
      <c r="E19" s="31">
        <v>0</v>
      </c>
      <c r="F19" s="258">
        <v>0</v>
      </c>
      <c r="G19" s="258">
        <f t="shared" si="1"/>
        <v>138</v>
      </c>
      <c r="H19" s="198">
        <f>C19/$G$19*100</f>
        <v>94.20289855072464</v>
      </c>
      <c r="I19" s="198">
        <f>D19/$G$19*100</f>
        <v>5.797101449275362</v>
      </c>
      <c r="J19" s="198">
        <f>E19/$G$19*100</f>
        <v>0</v>
      </c>
      <c r="K19" s="198">
        <f>F19/$G$19*100</f>
        <v>0</v>
      </c>
      <c r="L19" s="258">
        <f t="shared" si="0"/>
        <v>100</v>
      </c>
      <c r="M19" s="259">
        <f t="shared" si="2"/>
        <v>0</v>
      </c>
    </row>
    <row r="20" spans="1:13" ht="15">
      <c r="A20" s="138">
        <f>6!A20</f>
        <v>10</v>
      </c>
      <c r="B20" s="98" t="str">
        <f>6!B20</f>
        <v>Barito Selatan</v>
      </c>
      <c r="C20" s="31">
        <v>107</v>
      </c>
      <c r="D20" s="258">
        <v>15</v>
      </c>
      <c r="E20" s="31">
        <v>24</v>
      </c>
      <c r="F20" s="258">
        <v>1</v>
      </c>
      <c r="G20" s="258">
        <f t="shared" si="1"/>
        <v>147</v>
      </c>
      <c r="H20" s="198">
        <f>C20/$G$20*100</f>
        <v>72.78911564625851</v>
      </c>
      <c r="I20" s="198">
        <f>D20/$G$20*100</f>
        <v>10.204081632653061</v>
      </c>
      <c r="J20" s="198">
        <f>E20/$G$20*100</f>
        <v>16.3265306122449</v>
      </c>
      <c r="K20" s="198">
        <f>F20/$G$20*100</f>
        <v>0.6802721088435374</v>
      </c>
      <c r="L20" s="258">
        <f t="shared" si="0"/>
        <v>100</v>
      </c>
      <c r="M20" s="259">
        <f t="shared" si="2"/>
        <v>17.006802721088437</v>
      </c>
    </row>
    <row r="21" spans="1:13" ht="15">
      <c r="A21" s="138">
        <f>6!A21</f>
        <v>11</v>
      </c>
      <c r="B21" s="98" t="str">
        <f>6!B21</f>
        <v>Barito Timur</v>
      </c>
      <c r="C21" s="31">
        <v>5</v>
      </c>
      <c r="D21" s="258">
        <v>125</v>
      </c>
      <c r="E21" s="31">
        <v>27</v>
      </c>
      <c r="F21" s="258">
        <v>3</v>
      </c>
      <c r="G21" s="258">
        <f t="shared" si="1"/>
        <v>160</v>
      </c>
      <c r="H21" s="198">
        <f>C21/$G$21*100</f>
        <v>3.125</v>
      </c>
      <c r="I21" s="198">
        <f>D21/$G$21*100</f>
        <v>78.125</v>
      </c>
      <c r="J21" s="198">
        <f>E21/$G$21*100</f>
        <v>16.875</v>
      </c>
      <c r="K21" s="198">
        <f>F21/$G$21*100</f>
        <v>1.875</v>
      </c>
      <c r="L21" s="258">
        <f t="shared" si="0"/>
        <v>100</v>
      </c>
      <c r="M21" s="259">
        <f t="shared" si="2"/>
        <v>18.75</v>
      </c>
    </row>
    <row r="22" spans="1:13" ht="15">
      <c r="A22" s="138">
        <f>6!A22</f>
        <v>12</v>
      </c>
      <c r="B22" s="98" t="str">
        <f>6!B22</f>
        <v>Barito Utara</v>
      </c>
      <c r="C22" s="31">
        <v>114</v>
      </c>
      <c r="D22" s="258">
        <v>53</v>
      </c>
      <c r="E22" s="31">
        <v>10</v>
      </c>
      <c r="F22" s="258">
        <v>1</v>
      </c>
      <c r="G22" s="258">
        <f t="shared" si="1"/>
        <v>178</v>
      </c>
      <c r="H22" s="198">
        <f>C22/$G$22*100</f>
        <v>64.04494382022472</v>
      </c>
      <c r="I22" s="198">
        <f>D22/$G$22*100</f>
        <v>29.775280898876407</v>
      </c>
      <c r="J22" s="198">
        <f>E22/$G$22*100</f>
        <v>5.617977528089887</v>
      </c>
      <c r="K22" s="198">
        <f>F22/$G$22*100</f>
        <v>0.5617977528089888</v>
      </c>
      <c r="L22" s="258">
        <f t="shared" si="0"/>
        <v>99.99999999999999</v>
      </c>
      <c r="M22" s="259">
        <f t="shared" si="2"/>
        <v>6.179775280898876</v>
      </c>
    </row>
    <row r="23" spans="1:13" ht="15">
      <c r="A23" s="138">
        <f>6!A23</f>
        <v>13</v>
      </c>
      <c r="B23" s="98" t="str">
        <f>6!B23</f>
        <v>Murung Raya</v>
      </c>
      <c r="C23" s="139">
        <v>156</v>
      </c>
      <c r="D23" s="230">
        <v>0</v>
      </c>
      <c r="E23" s="139">
        <v>0</v>
      </c>
      <c r="F23" s="230">
        <v>0</v>
      </c>
      <c r="G23" s="230">
        <f t="shared" si="1"/>
        <v>156</v>
      </c>
      <c r="H23" s="141">
        <f>C23/$G$23*100</f>
        <v>100</v>
      </c>
      <c r="I23" s="198">
        <f>D23/$G$23*100</f>
        <v>0</v>
      </c>
      <c r="J23" s="198">
        <f>E23/$G$23*100</f>
        <v>0</v>
      </c>
      <c r="K23" s="198">
        <f>F23/$G$23*100</f>
        <v>0</v>
      </c>
      <c r="L23" s="258">
        <f t="shared" si="0"/>
        <v>100</v>
      </c>
      <c r="M23" s="259">
        <f t="shared" si="2"/>
        <v>0</v>
      </c>
    </row>
    <row r="24" spans="1:13" ht="15">
      <c r="A24" s="138">
        <f>6!A24</f>
        <v>14</v>
      </c>
      <c r="B24" s="98" t="str">
        <f>6!B24</f>
        <v>Palangka Raya</v>
      </c>
      <c r="C24" s="31">
        <v>50</v>
      </c>
      <c r="D24" s="258">
        <v>68</v>
      </c>
      <c r="E24" s="31">
        <v>8</v>
      </c>
      <c r="F24" s="258">
        <v>2</v>
      </c>
      <c r="G24" s="258">
        <f t="shared" si="1"/>
        <v>128</v>
      </c>
      <c r="H24" s="198">
        <f>C24/$G$24*100</f>
        <v>39.0625</v>
      </c>
      <c r="I24" s="198">
        <f>D24/$G$24*100</f>
        <v>53.125</v>
      </c>
      <c r="J24" s="198">
        <f>E24/$G$24*100</f>
        <v>6.25</v>
      </c>
      <c r="K24" s="198">
        <f>F24/$G$24*100</f>
        <v>1.5625</v>
      </c>
      <c r="L24" s="258">
        <f t="shared" si="0"/>
        <v>100</v>
      </c>
      <c r="M24" s="259">
        <f t="shared" si="2"/>
        <v>7.8125</v>
      </c>
    </row>
    <row r="25" spans="1:13" ht="15">
      <c r="A25" s="138"/>
      <c r="B25" s="98"/>
      <c r="C25" s="31"/>
      <c r="D25" s="258"/>
      <c r="E25" s="31"/>
      <c r="F25" s="258"/>
      <c r="G25" s="258"/>
      <c r="H25" s="198"/>
      <c r="I25" s="198"/>
      <c r="J25" s="198"/>
      <c r="K25" s="198"/>
      <c r="L25" s="258"/>
      <c r="M25" s="259"/>
    </row>
    <row r="26" spans="1:13" ht="19.5" customHeight="1" thickBot="1">
      <c r="A26" s="705" t="s">
        <v>859</v>
      </c>
      <c r="B26" s="706"/>
      <c r="C26" s="41">
        <f>SUM(C11:C25)</f>
        <v>1364</v>
      </c>
      <c r="D26" s="41">
        <f>SUM(D11:D25)</f>
        <v>693</v>
      </c>
      <c r="E26" s="41">
        <f>SUM(E11:E25)</f>
        <v>141</v>
      </c>
      <c r="F26" s="41">
        <f>SUM(F11:F25)</f>
        <v>37</v>
      </c>
      <c r="G26" s="41">
        <f>SUM(G11:G25)</f>
        <v>2235</v>
      </c>
      <c r="H26" s="200">
        <f>C26/$G$26*100</f>
        <v>61.029082774049215</v>
      </c>
      <c r="I26" s="200">
        <f>D26/$G$26*100</f>
        <v>31.00671140939597</v>
      </c>
      <c r="J26" s="200">
        <f>E26/$G$26*100</f>
        <v>6.308724832214765</v>
      </c>
      <c r="K26" s="200">
        <f>F26/$G$26*100</f>
        <v>1.6554809843400446</v>
      </c>
      <c r="L26" s="41">
        <f t="shared" si="0"/>
        <v>99.99999999999999</v>
      </c>
      <c r="M26" s="260">
        <f t="shared" si="2"/>
        <v>7.96420581655481</v>
      </c>
    </row>
    <row r="28" ht="15">
      <c r="A28" s="14" t="s">
        <v>243</v>
      </c>
    </row>
    <row r="29" ht="15">
      <c r="M29" s="511"/>
    </row>
  </sheetData>
  <mergeCells count="6">
    <mergeCell ref="A3:M3"/>
    <mergeCell ref="A4:M4"/>
    <mergeCell ref="A5:M5"/>
    <mergeCell ref="A26:B26"/>
    <mergeCell ref="A8:A9"/>
    <mergeCell ref="B8:B9"/>
  </mergeCells>
  <printOptions horizontalCentered="1"/>
  <pageMargins left="1.6929133858267718" right="0.9055118110236221" top="1.141732283464567" bottom="0.9055118110236221" header="0" footer="1.1811023622047245"/>
  <pageSetup fitToHeight="1" fitToWidth="1" horizontalDpi="300" verticalDpi="300" orientation="landscape" paperSize="9" scale="69" r:id="rId1"/>
  <headerFooter alignWithMargins="0">
    <oddFooter>&amp;C103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J29"/>
  <sheetViews>
    <sheetView zoomScale="75" zoomScaleNormal="75" workbookViewId="0" topLeftCell="A1">
      <selection activeCell="A5" sqref="A5:G5"/>
    </sheetView>
  </sheetViews>
  <sheetFormatPr defaultColWidth="9.140625" defaultRowHeight="12.75"/>
  <cols>
    <col min="1" max="1" width="5.7109375" style="14" customWidth="1"/>
    <col min="2" max="2" width="27.7109375" style="14" customWidth="1"/>
    <col min="3" max="3" width="17.28125" style="14" customWidth="1"/>
    <col min="4" max="7" width="15.7109375" style="14" customWidth="1"/>
    <col min="8" max="16384" width="9.140625" style="14" customWidth="1"/>
  </cols>
  <sheetData>
    <row r="1" ht="15">
      <c r="A1" s="14" t="s">
        <v>481</v>
      </c>
    </row>
    <row r="3" spans="1:7" ht="15">
      <c r="A3" s="641" t="s">
        <v>890</v>
      </c>
      <c r="B3" s="641"/>
      <c r="C3" s="641"/>
      <c r="D3" s="641"/>
      <c r="E3" s="641"/>
      <c r="F3" s="641"/>
      <c r="G3" s="641"/>
    </row>
    <row r="4" spans="1:7" ht="15">
      <c r="A4" s="641" t="str">
        <f>1!A5</f>
        <v>PROVINSI KALIMANTAN TENGAH</v>
      </c>
      <c r="B4" s="641"/>
      <c r="C4" s="641"/>
      <c r="D4" s="641"/>
      <c r="E4" s="641"/>
      <c r="F4" s="641"/>
      <c r="G4" s="641"/>
    </row>
    <row r="5" spans="1:7" ht="15">
      <c r="A5" s="641" t="str">
        <f>1!A6</f>
        <v>TAHUN 2009</v>
      </c>
      <c r="B5" s="641"/>
      <c r="C5" s="641"/>
      <c r="D5" s="641"/>
      <c r="E5" s="641"/>
      <c r="F5" s="641"/>
      <c r="G5" s="641"/>
    </row>
    <row r="6" spans="1:7" s="18" customFormat="1" ht="15.75" thickBot="1">
      <c r="A6" s="16"/>
      <c r="B6" s="16"/>
      <c r="C6" s="16"/>
      <c r="D6" s="16"/>
      <c r="E6" s="16"/>
      <c r="F6" s="16"/>
      <c r="G6" s="16"/>
    </row>
    <row r="7" spans="1:7" ht="19.5" customHeight="1">
      <c r="A7" s="634" t="s">
        <v>2</v>
      </c>
      <c r="B7" s="637" t="s">
        <v>844</v>
      </c>
      <c r="C7" s="45" t="s">
        <v>41</v>
      </c>
      <c r="D7" s="46"/>
      <c r="E7" s="46"/>
      <c r="F7" s="46"/>
      <c r="G7" s="47"/>
    </row>
    <row r="8" spans="1:7" ht="19.5" customHeight="1">
      <c r="A8" s="635"/>
      <c r="B8" s="638"/>
      <c r="C8" s="25" t="s">
        <v>21</v>
      </c>
      <c r="D8" s="25" t="s">
        <v>21</v>
      </c>
      <c r="E8" s="25" t="s">
        <v>27</v>
      </c>
      <c r="F8" s="25" t="s">
        <v>21</v>
      </c>
      <c r="G8" s="25" t="s">
        <v>27</v>
      </c>
    </row>
    <row r="9" spans="1:7" ht="19.5" customHeight="1">
      <c r="A9" s="636"/>
      <c r="B9" s="639"/>
      <c r="C9" s="26" t="s">
        <v>30</v>
      </c>
      <c r="D9" s="26" t="s">
        <v>42</v>
      </c>
      <c r="E9" s="26" t="s">
        <v>42</v>
      </c>
      <c r="F9" s="26" t="s">
        <v>43</v>
      </c>
      <c r="G9" s="26" t="s">
        <v>43</v>
      </c>
    </row>
    <row r="10" spans="1:36" ht="15">
      <c r="A10" s="59">
        <v>1</v>
      </c>
      <c r="B10" s="59">
        <v>2</v>
      </c>
      <c r="C10" s="11">
        <v>4</v>
      </c>
      <c r="D10" s="11">
        <v>5</v>
      </c>
      <c r="E10" s="11">
        <v>6</v>
      </c>
      <c r="F10" s="11">
        <v>7</v>
      </c>
      <c r="G10" s="11">
        <v>8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7" ht="15" customHeight="1">
      <c r="A11" s="138">
        <f>6!A11</f>
        <v>1</v>
      </c>
      <c r="B11" s="138" t="str">
        <f>6!B11</f>
        <v>Kotawaringin Barat</v>
      </c>
      <c r="C11" s="31">
        <v>54477</v>
      </c>
      <c r="D11" s="31">
        <v>18086</v>
      </c>
      <c r="E11" s="205">
        <f>D11/C11*100</f>
        <v>33.19933182811094</v>
      </c>
      <c r="F11" s="31">
        <v>14969</v>
      </c>
      <c r="G11" s="205">
        <f>F11/D11*100</f>
        <v>82.7656751078182</v>
      </c>
    </row>
    <row r="12" spans="1:7" ht="15" customHeight="1">
      <c r="A12" s="138">
        <f>6!A12</f>
        <v>2</v>
      </c>
      <c r="B12" s="138" t="str">
        <f>6!B12</f>
        <v>Lamandau</v>
      </c>
      <c r="C12" s="31">
        <v>15389</v>
      </c>
      <c r="D12" s="31">
        <v>742</v>
      </c>
      <c r="E12" s="205">
        <f aca="true" t="shared" si="0" ref="E12:E24">D12/C12*100</f>
        <v>4.821625836636559</v>
      </c>
      <c r="F12" s="31">
        <v>244</v>
      </c>
      <c r="G12" s="205">
        <f aca="true" t="shared" si="1" ref="G12:G24">F12/D12*100</f>
        <v>32.88409703504043</v>
      </c>
    </row>
    <row r="13" spans="1:7" ht="15" customHeight="1">
      <c r="A13" s="138">
        <f>6!A13</f>
        <v>3</v>
      </c>
      <c r="B13" s="138" t="str">
        <f>6!B13</f>
        <v>Sukamara</v>
      </c>
      <c r="C13" s="31">
        <v>6619</v>
      </c>
      <c r="D13" s="31">
        <v>901</v>
      </c>
      <c r="E13" s="205">
        <f t="shared" si="0"/>
        <v>13.612328146245655</v>
      </c>
      <c r="F13" s="31">
        <v>163</v>
      </c>
      <c r="G13" s="205">
        <f t="shared" si="1"/>
        <v>18.09100998890122</v>
      </c>
    </row>
    <row r="14" spans="1:7" ht="15" customHeight="1">
      <c r="A14" s="138">
        <f>6!A14</f>
        <v>4</v>
      </c>
      <c r="B14" s="138" t="str">
        <f>6!B14</f>
        <v>Kotawaringin Timur</v>
      </c>
      <c r="C14" s="31">
        <v>80104</v>
      </c>
      <c r="D14" s="31">
        <v>8038</v>
      </c>
      <c r="E14" s="205">
        <f t="shared" si="0"/>
        <v>10.034455208229302</v>
      </c>
      <c r="F14" s="31">
        <v>3674</v>
      </c>
      <c r="G14" s="205">
        <f t="shared" si="1"/>
        <v>45.70788753421249</v>
      </c>
    </row>
    <row r="15" spans="1:7" ht="15" customHeight="1">
      <c r="A15" s="138">
        <f>6!A15</f>
        <v>5</v>
      </c>
      <c r="B15" s="138" t="str">
        <f>6!B15</f>
        <v>Seruyan</v>
      </c>
      <c r="C15" s="31">
        <v>34193</v>
      </c>
      <c r="D15" s="31">
        <v>2560</v>
      </c>
      <c r="E15" s="205">
        <f t="shared" si="0"/>
        <v>7.4869125259556055</v>
      </c>
      <c r="F15" s="31">
        <v>740</v>
      </c>
      <c r="G15" s="205">
        <f t="shared" si="1"/>
        <v>28.90625</v>
      </c>
    </row>
    <row r="16" spans="1:7" ht="15" customHeight="1">
      <c r="A16" s="138">
        <f>6!A16</f>
        <v>6</v>
      </c>
      <c r="B16" s="138" t="str">
        <f>6!B16</f>
        <v>Katingan</v>
      </c>
      <c r="C16" s="31">
        <v>31047</v>
      </c>
      <c r="D16" s="31">
        <v>11714</v>
      </c>
      <c r="E16" s="205">
        <f t="shared" si="0"/>
        <v>37.72989338744484</v>
      </c>
      <c r="F16" s="31">
        <v>8001</v>
      </c>
      <c r="G16" s="205">
        <f t="shared" si="1"/>
        <v>68.30288543623016</v>
      </c>
    </row>
    <row r="17" spans="1:7" ht="15" customHeight="1">
      <c r="A17" s="138">
        <f>6!A17</f>
        <v>7</v>
      </c>
      <c r="B17" s="138" t="str">
        <f>6!B17</f>
        <v>Kapuas</v>
      </c>
      <c r="C17" s="31">
        <v>90491</v>
      </c>
      <c r="D17" s="31">
        <v>19851</v>
      </c>
      <c r="E17" s="205">
        <f t="shared" si="0"/>
        <v>21.936988208772142</v>
      </c>
      <c r="F17" s="31">
        <v>5869</v>
      </c>
      <c r="G17" s="205">
        <f t="shared" si="1"/>
        <v>29.565261195909525</v>
      </c>
    </row>
    <row r="18" spans="1:7" ht="15" customHeight="1">
      <c r="A18" s="138">
        <f>6!A18</f>
        <v>8</v>
      </c>
      <c r="B18" s="138" t="str">
        <f>6!B18</f>
        <v>Pulang Pisau</v>
      </c>
      <c r="C18" s="31">
        <v>30171</v>
      </c>
      <c r="D18" s="31">
        <v>50</v>
      </c>
      <c r="E18" s="205">
        <f t="shared" si="0"/>
        <v>0.16572205097610287</v>
      </c>
      <c r="F18" s="31">
        <v>10</v>
      </c>
      <c r="G18" s="205">
        <f t="shared" si="1"/>
        <v>20</v>
      </c>
    </row>
    <row r="19" spans="1:7" ht="15" customHeight="1">
      <c r="A19" s="138">
        <f>6!A19</f>
        <v>9</v>
      </c>
      <c r="B19" s="138" t="str">
        <f>6!B19</f>
        <v>Gunung Mas</v>
      </c>
      <c r="C19" s="31">
        <v>27033</v>
      </c>
      <c r="D19" s="31">
        <v>6195</v>
      </c>
      <c r="E19" s="205">
        <f t="shared" si="0"/>
        <v>22.916435467761627</v>
      </c>
      <c r="F19" s="31">
        <v>5303</v>
      </c>
      <c r="G19" s="205">
        <f t="shared" si="1"/>
        <v>85.60129136400323</v>
      </c>
    </row>
    <row r="20" spans="1:7" ht="15" customHeight="1">
      <c r="A20" s="138">
        <f>6!A20</f>
        <v>10</v>
      </c>
      <c r="B20" s="138" t="str">
        <f>6!B20</f>
        <v>Barito Selatan</v>
      </c>
      <c r="C20" s="31">
        <v>25115</v>
      </c>
      <c r="D20" s="31">
        <v>10111</v>
      </c>
      <c r="E20" s="205">
        <f t="shared" si="0"/>
        <v>40.258809476408516</v>
      </c>
      <c r="F20" s="31">
        <v>2806</v>
      </c>
      <c r="G20" s="205">
        <f t="shared" si="1"/>
        <v>27.751953318168333</v>
      </c>
    </row>
    <row r="21" spans="1:7" ht="15" customHeight="1">
      <c r="A21" s="138">
        <f>6!A21</f>
        <v>11</v>
      </c>
      <c r="B21" s="138" t="str">
        <f>6!B21</f>
        <v>Barito Timur</v>
      </c>
      <c r="C21" s="31">
        <v>29093</v>
      </c>
      <c r="D21" s="31">
        <v>8026</v>
      </c>
      <c r="E21" s="205">
        <f t="shared" si="0"/>
        <v>27.587392156188773</v>
      </c>
      <c r="F21" s="31">
        <v>3939</v>
      </c>
      <c r="G21" s="205">
        <f t="shared" si="1"/>
        <v>49.07799651133815</v>
      </c>
    </row>
    <row r="22" spans="1:7" ht="15" customHeight="1">
      <c r="A22" s="138">
        <f>6!A22</f>
        <v>12</v>
      </c>
      <c r="B22" s="138" t="str">
        <f>6!B22</f>
        <v>Barito Utara</v>
      </c>
      <c r="C22" s="31">
        <v>24019</v>
      </c>
      <c r="D22" s="31">
        <v>18646</v>
      </c>
      <c r="E22" s="205">
        <f t="shared" si="0"/>
        <v>77.63020941754445</v>
      </c>
      <c r="F22" s="31">
        <v>9464</v>
      </c>
      <c r="G22" s="205">
        <f t="shared" si="1"/>
        <v>50.75619435803925</v>
      </c>
    </row>
    <row r="23" spans="1:7" ht="15" customHeight="1">
      <c r="A23" s="138">
        <f>6!A23</f>
        <v>13</v>
      </c>
      <c r="B23" s="138" t="str">
        <f>6!B23</f>
        <v>Murung Raya</v>
      </c>
      <c r="C23" s="31">
        <v>13972</v>
      </c>
      <c r="D23" s="31">
        <v>5156</v>
      </c>
      <c r="E23" s="205">
        <f t="shared" si="0"/>
        <v>36.902376180933295</v>
      </c>
      <c r="F23" s="31">
        <v>2148</v>
      </c>
      <c r="G23" s="205">
        <f t="shared" si="1"/>
        <v>41.66020170674942</v>
      </c>
    </row>
    <row r="24" spans="1:7" ht="15" customHeight="1">
      <c r="A24" s="138">
        <f>6!A24</f>
        <v>14</v>
      </c>
      <c r="B24" s="138" t="str">
        <f>6!B24</f>
        <v>Palangka Raya</v>
      </c>
      <c r="C24" s="31">
        <v>43810</v>
      </c>
      <c r="D24" s="31">
        <v>6811</v>
      </c>
      <c r="E24" s="205">
        <f t="shared" si="0"/>
        <v>15.546678840447386</v>
      </c>
      <c r="F24" s="31">
        <v>5226</v>
      </c>
      <c r="G24" s="205">
        <f t="shared" si="1"/>
        <v>76.7288210248128</v>
      </c>
    </row>
    <row r="25" spans="1:7" ht="15" customHeight="1">
      <c r="A25" s="158"/>
      <c r="B25" s="158"/>
      <c r="C25" s="31"/>
      <c r="D25" s="31"/>
      <c r="E25" s="205"/>
      <c r="F25" s="31"/>
      <c r="G25" s="205"/>
    </row>
    <row r="26" spans="1:7" ht="19.5" customHeight="1" thickBot="1">
      <c r="A26" s="165" t="s">
        <v>859</v>
      </c>
      <c r="B26" s="70"/>
      <c r="C26" s="41">
        <f>SUM(C11:C25)</f>
        <v>505533</v>
      </c>
      <c r="D26" s="41">
        <f>SUM(D11:D25)</f>
        <v>116887</v>
      </c>
      <c r="E26" s="190">
        <f>D26/C26*100</f>
        <v>23.121537070774806</v>
      </c>
      <c r="F26" s="41">
        <f>SUM(F11:F25)</f>
        <v>62556</v>
      </c>
      <c r="G26" s="190">
        <f>F26/D26*100</f>
        <v>53.51835533463943</v>
      </c>
    </row>
    <row r="27" spans="1:7" ht="15">
      <c r="A27" s="9"/>
      <c r="B27" s="9"/>
      <c r="C27" s="18"/>
      <c r="D27" s="18"/>
      <c r="E27" s="18"/>
      <c r="F27" s="18"/>
      <c r="G27" s="18"/>
    </row>
    <row r="28" ht="15">
      <c r="A28" s="14" t="s">
        <v>243</v>
      </c>
    </row>
    <row r="29" ht="15">
      <c r="G29" s="511"/>
    </row>
  </sheetData>
  <mergeCells count="5">
    <mergeCell ref="A3:G3"/>
    <mergeCell ref="A4:G4"/>
    <mergeCell ref="A5:G5"/>
    <mergeCell ref="A7:A9"/>
    <mergeCell ref="B7:B9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r:id="rId1"/>
  <headerFooter alignWithMargins="0">
    <oddFooter>&amp;C104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T35"/>
  <sheetViews>
    <sheetView zoomScale="75" zoomScaleNormal="75" workbookViewId="0" topLeftCell="A1">
      <selection activeCell="G31" sqref="G31"/>
    </sheetView>
  </sheetViews>
  <sheetFormatPr defaultColWidth="9.140625" defaultRowHeight="12.75"/>
  <cols>
    <col min="1" max="1" width="5.7109375" style="14" customWidth="1"/>
    <col min="2" max="2" width="27.140625" style="14" customWidth="1"/>
    <col min="3" max="5" width="12.7109375" style="14" customWidth="1"/>
    <col min="6" max="7" width="9.8515625" style="14" customWidth="1"/>
    <col min="8" max="8" width="10.00390625" style="14" customWidth="1"/>
    <col min="9" max="10" width="8.8515625" style="14" customWidth="1"/>
    <col min="11" max="11" width="9.7109375" style="14" customWidth="1"/>
    <col min="12" max="12" width="12.00390625" style="14" customWidth="1"/>
    <col min="13" max="19" width="7.7109375" style="14" customWidth="1"/>
    <col min="20" max="16384" width="9.140625" style="14" customWidth="1"/>
  </cols>
  <sheetData>
    <row r="1" ht="15">
      <c r="A1" s="13" t="s">
        <v>482</v>
      </c>
    </row>
    <row r="3" spans="1:19" ht="15">
      <c r="A3" s="641" t="s">
        <v>226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</row>
    <row r="4" spans="1:19" ht="15">
      <c r="A4" s="641" t="str">
        <f>1!A5</f>
        <v>PROVINSI KALIMANTAN TENGAH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</row>
    <row r="5" spans="1:19" ht="15">
      <c r="A5" s="641" t="str">
        <f>1!A6</f>
        <v>TAHUN 2009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</row>
    <row r="6" spans="1:19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ht="15.75" thickBot="1"/>
    <row r="8" spans="1:19" ht="26.25" customHeight="1">
      <c r="A8" s="663" t="s">
        <v>2</v>
      </c>
      <c r="B8" s="712" t="s">
        <v>3</v>
      </c>
      <c r="C8" s="711" t="s">
        <v>493</v>
      </c>
      <c r="D8" s="643" t="s">
        <v>272</v>
      </c>
      <c r="E8" s="643" t="s">
        <v>271</v>
      </c>
      <c r="F8" s="581" t="s">
        <v>225</v>
      </c>
      <c r="G8" s="581"/>
      <c r="H8" s="581"/>
      <c r="I8" s="581"/>
      <c r="J8" s="581"/>
      <c r="K8" s="581"/>
      <c r="L8" s="581"/>
      <c r="M8" s="708" t="s">
        <v>224</v>
      </c>
      <c r="N8" s="709"/>
      <c r="O8" s="709"/>
      <c r="P8" s="709"/>
      <c r="Q8" s="709"/>
      <c r="R8" s="709"/>
      <c r="S8" s="710"/>
    </row>
    <row r="9" spans="1:19" ht="68.25" customHeight="1">
      <c r="A9" s="664"/>
      <c r="B9" s="703"/>
      <c r="C9" s="645"/>
      <c r="D9" s="645"/>
      <c r="E9" s="645"/>
      <c r="F9" s="262" t="s">
        <v>219</v>
      </c>
      <c r="G9" s="262" t="s">
        <v>220</v>
      </c>
      <c r="H9" s="262" t="s">
        <v>221</v>
      </c>
      <c r="I9" s="262" t="s">
        <v>222</v>
      </c>
      <c r="J9" s="262" t="s">
        <v>223</v>
      </c>
      <c r="K9" s="262" t="s">
        <v>38</v>
      </c>
      <c r="L9" s="262" t="s">
        <v>21</v>
      </c>
      <c r="M9" s="263" t="s">
        <v>219</v>
      </c>
      <c r="N9" s="263" t="s">
        <v>220</v>
      </c>
      <c r="O9" s="263" t="s">
        <v>221</v>
      </c>
      <c r="P9" s="263" t="s">
        <v>222</v>
      </c>
      <c r="Q9" s="263" t="s">
        <v>223</v>
      </c>
      <c r="R9" s="262" t="s">
        <v>38</v>
      </c>
      <c r="S9" s="262" t="s">
        <v>21</v>
      </c>
    </row>
    <row r="10" spans="1:19" ht="15" customHeight="1">
      <c r="A10" s="11">
        <v>1</v>
      </c>
      <c r="B10" s="59">
        <v>2</v>
      </c>
      <c r="C10" s="11">
        <v>4</v>
      </c>
      <c r="D10" s="59">
        <v>5</v>
      </c>
      <c r="E10" s="59">
        <v>6</v>
      </c>
      <c r="F10" s="11">
        <v>7</v>
      </c>
      <c r="G10" s="59">
        <v>8</v>
      </c>
      <c r="H10" s="11">
        <v>9</v>
      </c>
      <c r="I10" s="59">
        <v>10</v>
      </c>
      <c r="J10" s="59">
        <v>11</v>
      </c>
      <c r="K10" s="11">
        <v>12</v>
      </c>
      <c r="L10" s="11">
        <v>13</v>
      </c>
      <c r="M10" s="59">
        <v>14</v>
      </c>
      <c r="N10" s="59">
        <v>15</v>
      </c>
      <c r="O10" s="59">
        <v>16</v>
      </c>
      <c r="P10" s="59">
        <v>17</v>
      </c>
      <c r="Q10" s="59">
        <v>18</v>
      </c>
      <c r="R10" s="59">
        <v>19</v>
      </c>
      <c r="S10" s="59">
        <v>20</v>
      </c>
    </row>
    <row r="11" spans="1:19" ht="15" customHeight="1">
      <c r="A11" s="138">
        <f>6!A11</f>
        <v>1</v>
      </c>
      <c r="B11" s="30" t="str">
        <f>6!B11</f>
        <v>Kotawaringin Barat</v>
      </c>
      <c r="C11" s="31">
        <v>66879</v>
      </c>
      <c r="D11" s="31">
        <v>26862</v>
      </c>
      <c r="E11" s="198">
        <f>D11/C11*100</f>
        <v>40.16507423855022</v>
      </c>
      <c r="F11" s="31">
        <v>5559</v>
      </c>
      <c r="G11" s="31">
        <v>4094</v>
      </c>
      <c r="H11" s="31">
        <v>17204</v>
      </c>
      <c r="I11" s="31">
        <v>5</v>
      </c>
      <c r="J11" s="31">
        <v>0</v>
      </c>
      <c r="K11" s="31">
        <v>0</v>
      </c>
      <c r="L11" s="196">
        <f>SUM(F11:K11)</f>
        <v>26862</v>
      </c>
      <c r="M11" s="266">
        <f>F11/L11*100</f>
        <v>20.69466160375251</v>
      </c>
      <c r="N11" s="266">
        <f>G11/L11*100</f>
        <v>15.24086069540615</v>
      </c>
      <c r="O11" s="266">
        <f>H11/L11*100</f>
        <v>64.04586404586404</v>
      </c>
      <c r="P11" s="266">
        <f>I11/L11*100</f>
        <v>0.018613654977291342</v>
      </c>
      <c r="Q11" s="265">
        <f>J11/L11*100</f>
        <v>0</v>
      </c>
      <c r="R11" s="266">
        <f>K11/L11*100</f>
        <v>0</v>
      </c>
      <c r="S11" s="265">
        <f>L11/L11*100</f>
        <v>100</v>
      </c>
    </row>
    <row r="12" spans="1:19" ht="15" customHeight="1">
      <c r="A12" s="138">
        <f>6!A12</f>
        <v>2</v>
      </c>
      <c r="B12" s="30" t="str">
        <f>6!B12</f>
        <v>Lamandau</v>
      </c>
      <c r="C12" s="31">
        <v>15389</v>
      </c>
      <c r="D12" s="31">
        <v>977</v>
      </c>
      <c r="E12" s="198">
        <f aca="true" t="shared" si="0" ref="E12:E26">D12/C12*100</f>
        <v>6.348690623172396</v>
      </c>
      <c r="F12" s="31">
        <v>1011</v>
      </c>
      <c r="G12" s="31">
        <v>62</v>
      </c>
      <c r="H12" s="31">
        <v>10030</v>
      </c>
      <c r="I12" s="31">
        <v>0</v>
      </c>
      <c r="J12" s="31">
        <v>0</v>
      </c>
      <c r="K12" s="31">
        <v>2065</v>
      </c>
      <c r="L12" s="31">
        <f aca="true" t="shared" si="1" ref="L12:L26">SUM(F12:K12)</f>
        <v>13168</v>
      </c>
      <c r="M12" s="267">
        <f aca="true" t="shared" si="2" ref="M12:M26">F12/L12*100</f>
        <v>7.677703523693803</v>
      </c>
      <c r="N12" s="267">
        <f aca="true" t="shared" si="3" ref="N12:N26">G12/L12*100</f>
        <v>0.47083839611178613</v>
      </c>
      <c r="O12" s="267">
        <f aca="true" t="shared" si="4" ref="O12:O24">H12/L12*100</f>
        <v>76.16950182260024</v>
      </c>
      <c r="P12" s="12">
        <f aca="true" t="shared" si="5" ref="P12:P26">I12/L12*100</f>
        <v>0</v>
      </c>
      <c r="Q12" s="12">
        <f aca="true" t="shared" si="6" ref="Q12:Q26">J12/L12*100</f>
        <v>0</v>
      </c>
      <c r="R12" s="267">
        <f aca="true" t="shared" si="7" ref="R12:R26">K12/L12*100</f>
        <v>15.681956257594168</v>
      </c>
      <c r="S12" s="12">
        <f aca="true" t="shared" si="8" ref="S12:S26">L12/L12*100</f>
        <v>100</v>
      </c>
    </row>
    <row r="13" spans="1:19" ht="15" customHeight="1">
      <c r="A13" s="138">
        <f>6!A13</f>
        <v>3</v>
      </c>
      <c r="B13" s="30" t="str">
        <f>6!B13</f>
        <v>Sukamara</v>
      </c>
      <c r="C13" s="31">
        <v>11725</v>
      </c>
      <c r="D13" s="31">
        <v>901</v>
      </c>
      <c r="E13" s="198">
        <f t="shared" si="0"/>
        <v>7.684434968017058</v>
      </c>
      <c r="F13" s="31">
        <v>278</v>
      </c>
      <c r="G13" s="31">
        <v>24</v>
      </c>
      <c r="H13" s="31">
        <v>1278</v>
      </c>
      <c r="I13" s="31">
        <v>18</v>
      </c>
      <c r="J13" s="31">
        <v>0</v>
      </c>
      <c r="K13" s="31">
        <v>0</v>
      </c>
      <c r="L13" s="31">
        <f t="shared" si="1"/>
        <v>1598</v>
      </c>
      <c r="M13" s="267">
        <f t="shared" si="2"/>
        <v>17.39674593241552</v>
      </c>
      <c r="N13" s="267">
        <f t="shared" si="3"/>
        <v>1.5018773466833542</v>
      </c>
      <c r="O13" s="267">
        <f t="shared" si="4"/>
        <v>79.9749687108886</v>
      </c>
      <c r="P13" s="267">
        <f t="shared" si="5"/>
        <v>1.1264080100125156</v>
      </c>
      <c r="Q13" s="12">
        <f t="shared" si="6"/>
        <v>0</v>
      </c>
      <c r="R13" s="267">
        <f t="shared" si="7"/>
        <v>0</v>
      </c>
      <c r="S13" s="12">
        <f t="shared" si="8"/>
        <v>100</v>
      </c>
    </row>
    <row r="14" spans="1:19" ht="15" customHeight="1">
      <c r="A14" s="138">
        <f>6!A14</f>
        <v>4</v>
      </c>
      <c r="B14" s="30" t="str">
        <f>6!B14</f>
        <v>Kotawaringin Timur</v>
      </c>
      <c r="C14" s="31">
        <v>80104</v>
      </c>
      <c r="D14" s="31">
        <v>8038</v>
      </c>
      <c r="E14" s="198">
        <f t="shared" si="0"/>
        <v>10.034455208229302</v>
      </c>
      <c r="F14" s="31">
        <v>1936</v>
      </c>
      <c r="G14" s="31">
        <v>147</v>
      </c>
      <c r="H14" s="31">
        <v>1409</v>
      </c>
      <c r="I14" s="31">
        <v>332</v>
      </c>
      <c r="J14" s="31">
        <v>0</v>
      </c>
      <c r="K14" s="31">
        <v>108</v>
      </c>
      <c r="L14" s="31">
        <f t="shared" si="1"/>
        <v>3932</v>
      </c>
      <c r="M14" s="12">
        <f t="shared" si="2"/>
        <v>49.23702950152594</v>
      </c>
      <c r="N14" s="267">
        <f t="shared" si="3"/>
        <v>3.738555442522889</v>
      </c>
      <c r="O14" s="267">
        <f t="shared" si="4"/>
        <v>35.83418107833164</v>
      </c>
      <c r="P14" s="12">
        <f t="shared" si="5"/>
        <v>8.44354018311292</v>
      </c>
      <c r="Q14" s="12">
        <f t="shared" si="6"/>
        <v>0</v>
      </c>
      <c r="R14" s="267">
        <f t="shared" si="7"/>
        <v>2.746693794506612</v>
      </c>
      <c r="S14" s="12">
        <f t="shared" si="8"/>
        <v>100</v>
      </c>
    </row>
    <row r="15" spans="1:19" ht="15" customHeight="1">
      <c r="A15" s="138">
        <f>6!A15</f>
        <v>5</v>
      </c>
      <c r="B15" s="30" t="str">
        <f>6!B15</f>
        <v>Seruyan</v>
      </c>
      <c r="C15" s="139">
        <v>39079</v>
      </c>
      <c r="D15" s="31">
        <v>2560</v>
      </c>
      <c r="E15" s="198">
        <f t="shared" si="0"/>
        <v>6.550832928171141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2277</v>
      </c>
      <c r="L15" s="31">
        <f t="shared" si="1"/>
        <v>2277</v>
      </c>
      <c r="M15" s="12">
        <f t="shared" si="2"/>
        <v>0</v>
      </c>
      <c r="N15" s="267">
        <f t="shared" si="3"/>
        <v>0</v>
      </c>
      <c r="O15" s="267">
        <f t="shared" si="4"/>
        <v>0</v>
      </c>
      <c r="P15" s="12">
        <f t="shared" si="5"/>
        <v>0</v>
      </c>
      <c r="Q15" s="12">
        <f t="shared" si="6"/>
        <v>0</v>
      </c>
      <c r="R15" s="267">
        <f t="shared" si="7"/>
        <v>100</v>
      </c>
      <c r="S15" s="12">
        <f t="shared" si="8"/>
        <v>100</v>
      </c>
    </row>
    <row r="16" spans="1:19" ht="15" customHeight="1">
      <c r="A16" s="138">
        <f>6!A16</f>
        <v>6</v>
      </c>
      <c r="B16" s="30" t="str">
        <f>6!B16</f>
        <v>Katingan</v>
      </c>
      <c r="C16" s="139">
        <v>34463</v>
      </c>
      <c r="D16" s="31">
        <v>11714</v>
      </c>
      <c r="E16" s="198">
        <f t="shared" si="0"/>
        <v>33.99007631372777</v>
      </c>
      <c r="F16" s="31">
        <v>1681</v>
      </c>
      <c r="G16" s="31">
        <v>647</v>
      </c>
      <c r="H16" s="31">
        <v>5184</v>
      </c>
      <c r="I16" s="31">
        <v>2217</v>
      </c>
      <c r="J16" s="31">
        <v>0</v>
      </c>
      <c r="K16" s="31">
        <v>0</v>
      </c>
      <c r="L16" s="31">
        <f t="shared" si="1"/>
        <v>9729</v>
      </c>
      <c r="M16" s="267">
        <f t="shared" si="2"/>
        <v>17.27824031246788</v>
      </c>
      <c r="N16" s="267">
        <f t="shared" si="3"/>
        <v>6.650220988796382</v>
      </c>
      <c r="O16" s="267">
        <f t="shared" si="4"/>
        <v>53.28399629972248</v>
      </c>
      <c r="P16" s="267">
        <f t="shared" si="5"/>
        <v>22.787542399013258</v>
      </c>
      <c r="Q16" s="12">
        <f t="shared" si="6"/>
        <v>0</v>
      </c>
      <c r="R16" s="267">
        <f t="shared" si="7"/>
        <v>0</v>
      </c>
      <c r="S16" s="12">
        <f t="shared" si="8"/>
        <v>100</v>
      </c>
    </row>
    <row r="17" spans="1:19" ht="15" customHeight="1">
      <c r="A17" s="138">
        <f>6!A17</f>
        <v>7</v>
      </c>
      <c r="B17" s="30" t="str">
        <f>6!B17</f>
        <v>Kapuas</v>
      </c>
      <c r="C17" s="139">
        <v>90491</v>
      </c>
      <c r="D17" s="31">
        <v>20647</v>
      </c>
      <c r="E17" s="198">
        <f t="shared" si="0"/>
        <v>22.816633698378844</v>
      </c>
      <c r="F17" s="31">
        <v>11927</v>
      </c>
      <c r="G17" s="31">
        <v>1222</v>
      </c>
      <c r="H17" s="31">
        <v>3668</v>
      </c>
      <c r="I17" s="31">
        <v>3830</v>
      </c>
      <c r="J17" s="31">
        <v>0</v>
      </c>
      <c r="K17" s="31">
        <v>0</v>
      </c>
      <c r="L17" s="31">
        <f t="shared" si="1"/>
        <v>20647</v>
      </c>
      <c r="M17" s="267">
        <f t="shared" si="2"/>
        <v>57.766261442340294</v>
      </c>
      <c r="N17" s="267">
        <f t="shared" si="3"/>
        <v>5.9185353804426795</v>
      </c>
      <c r="O17" s="267">
        <f t="shared" si="4"/>
        <v>17.765292778611904</v>
      </c>
      <c r="P17" s="12">
        <f t="shared" si="5"/>
        <v>18.549910398605125</v>
      </c>
      <c r="Q17" s="12">
        <f t="shared" si="6"/>
        <v>0</v>
      </c>
      <c r="R17" s="267">
        <f t="shared" si="7"/>
        <v>0</v>
      </c>
      <c r="S17" s="12">
        <f t="shared" si="8"/>
        <v>100</v>
      </c>
    </row>
    <row r="18" spans="1:19" ht="15" customHeight="1">
      <c r="A18" s="138">
        <f>6!A18</f>
        <v>8</v>
      </c>
      <c r="B18" s="30" t="str">
        <f>6!B18</f>
        <v>Pulang Pisau</v>
      </c>
      <c r="C18" s="31">
        <v>30171</v>
      </c>
      <c r="D18" s="31">
        <v>2030</v>
      </c>
      <c r="E18" s="198">
        <f t="shared" si="0"/>
        <v>6.7283152696297766</v>
      </c>
      <c r="F18" s="31">
        <v>1126</v>
      </c>
      <c r="G18" s="31">
        <v>513</v>
      </c>
      <c r="H18" s="31">
        <v>638</v>
      </c>
      <c r="I18" s="31">
        <v>1780</v>
      </c>
      <c r="J18" s="31">
        <v>77</v>
      </c>
      <c r="K18" s="31">
        <v>0</v>
      </c>
      <c r="L18" s="31">
        <f t="shared" si="1"/>
        <v>4134</v>
      </c>
      <c r="M18" s="267">
        <f t="shared" si="2"/>
        <v>27.237542331881954</v>
      </c>
      <c r="N18" s="267">
        <f t="shared" si="3"/>
        <v>12.409288824383163</v>
      </c>
      <c r="O18" s="267">
        <f t="shared" si="4"/>
        <v>15.432994678277698</v>
      </c>
      <c r="P18" s="267">
        <f t="shared" si="5"/>
        <v>43.05757135945815</v>
      </c>
      <c r="Q18" s="267">
        <f t="shared" si="6"/>
        <v>1.8626028059990325</v>
      </c>
      <c r="R18" s="267">
        <f t="shared" si="7"/>
        <v>0</v>
      </c>
      <c r="S18" s="12">
        <f t="shared" si="8"/>
        <v>100</v>
      </c>
    </row>
    <row r="19" spans="1:19" ht="15" customHeight="1">
      <c r="A19" s="138">
        <f>6!A19</f>
        <v>9</v>
      </c>
      <c r="B19" s="30" t="str">
        <f>6!B19</f>
        <v>Gunung Mas</v>
      </c>
      <c r="C19" s="31">
        <v>32344</v>
      </c>
      <c r="D19" s="31">
        <v>4975</v>
      </c>
      <c r="E19" s="198">
        <f t="shared" si="0"/>
        <v>15.381523621073459</v>
      </c>
      <c r="F19" s="31">
        <v>1944</v>
      </c>
      <c r="G19" s="31">
        <v>70</v>
      </c>
      <c r="H19" s="31">
        <v>172</v>
      </c>
      <c r="I19" s="31">
        <v>16</v>
      </c>
      <c r="J19" s="31">
        <v>16</v>
      </c>
      <c r="K19" s="31">
        <v>0</v>
      </c>
      <c r="L19" s="31">
        <f t="shared" si="1"/>
        <v>2218</v>
      </c>
      <c r="M19" s="267">
        <f t="shared" si="2"/>
        <v>87.64652840396754</v>
      </c>
      <c r="N19" s="267">
        <f t="shared" si="3"/>
        <v>3.1559963931469794</v>
      </c>
      <c r="O19" s="267">
        <f t="shared" si="4"/>
        <v>7.75473399458972</v>
      </c>
      <c r="P19" s="267">
        <f t="shared" si="5"/>
        <v>0.7213706041478809</v>
      </c>
      <c r="Q19" s="267">
        <f t="shared" si="6"/>
        <v>0.7213706041478809</v>
      </c>
      <c r="R19" s="267">
        <f t="shared" si="7"/>
        <v>0</v>
      </c>
      <c r="S19" s="12">
        <f t="shared" si="8"/>
        <v>100</v>
      </c>
    </row>
    <row r="20" spans="1:19" ht="15" customHeight="1">
      <c r="A20" s="138">
        <f>6!A20</f>
        <v>10</v>
      </c>
      <c r="B20" s="30" t="str">
        <f>6!B20</f>
        <v>Barito Selatan</v>
      </c>
      <c r="C20" s="139">
        <v>32846</v>
      </c>
      <c r="D20" s="31">
        <v>17227</v>
      </c>
      <c r="E20" s="198">
        <f t="shared" si="0"/>
        <v>52.44778664068684</v>
      </c>
      <c r="F20" s="31">
        <v>7278</v>
      </c>
      <c r="G20" s="31">
        <v>49</v>
      </c>
      <c r="H20" s="31">
        <v>925</v>
      </c>
      <c r="I20" s="31">
        <v>19</v>
      </c>
      <c r="J20" s="31">
        <v>577</v>
      </c>
      <c r="K20" s="31">
        <v>2025</v>
      </c>
      <c r="L20" s="31">
        <f t="shared" si="1"/>
        <v>10873</v>
      </c>
      <c r="M20" s="267">
        <f t="shared" si="2"/>
        <v>66.93644808240596</v>
      </c>
      <c r="N20" s="267">
        <f t="shared" si="3"/>
        <v>0.45065759220086454</v>
      </c>
      <c r="O20" s="267">
        <f t="shared" si="4"/>
        <v>8.507311689506116</v>
      </c>
      <c r="P20" s="267">
        <f t="shared" si="5"/>
        <v>0.1747447806493148</v>
      </c>
      <c r="Q20" s="267">
        <f t="shared" si="6"/>
        <v>5.306723075508139</v>
      </c>
      <c r="R20" s="267">
        <f t="shared" si="7"/>
        <v>18.624114779729606</v>
      </c>
      <c r="S20" s="12">
        <f t="shared" si="8"/>
        <v>100</v>
      </c>
    </row>
    <row r="21" spans="1:20" ht="15" customHeight="1">
      <c r="A21" s="138">
        <f>6!A21</f>
        <v>11</v>
      </c>
      <c r="B21" s="30" t="str">
        <f>6!B21</f>
        <v>Barito Timur</v>
      </c>
      <c r="C21" s="139">
        <v>27624</v>
      </c>
      <c r="D21" s="31">
        <v>7863</v>
      </c>
      <c r="E21" s="198">
        <f t="shared" si="0"/>
        <v>28.46437880104257</v>
      </c>
      <c r="F21" s="31">
        <v>1729</v>
      </c>
      <c r="G21" s="31">
        <v>89</v>
      </c>
      <c r="H21" s="31">
        <v>5020</v>
      </c>
      <c r="I21" s="31">
        <v>10</v>
      </c>
      <c r="J21" s="31">
        <v>754</v>
      </c>
      <c r="K21" s="31">
        <v>255</v>
      </c>
      <c r="L21" s="31">
        <f t="shared" si="1"/>
        <v>7857</v>
      </c>
      <c r="M21" s="267">
        <f t="shared" si="2"/>
        <v>22.005854651902762</v>
      </c>
      <c r="N21" s="267">
        <f t="shared" si="3"/>
        <v>1.1327478681430572</v>
      </c>
      <c r="O21" s="267">
        <f t="shared" si="4"/>
        <v>63.892070764923005</v>
      </c>
      <c r="P21" s="267">
        <f t="shared" si="5"/>
        <v>0.12727504136438844</v>
      </c>
      <c r="Q21" s="267">
        <f t="shared" si="6"/>
        <v>9.596538118874888</v>
      </c>
      <c r="R21" s="267">
        <f t="shared" si="7"/>
        <v>3.245513554791905</v>
      </c>
      <c r="S21" s="12">
        <f t="shared" si="8"/>
        <v>100</v>
      </c>
      <c r="T21" s="193"/>
    </row>
    <row r="22" spans="1:20" ht="15" customHeight="1">
      <c r="A22" s="138">
        <f>6!A22</f>
        <v>12</v>
      </c>
      <c r="B22" s="30" t="str">
        <f>6!B22</f>
        <v>Barito Utara</v>
      </c>
      <c r="C22" s="31">
        <v>32548</v>
      </c>
      <c r="D22" s="31">
        <v>29702</v>
      </c>
      <c r="E22" s="198">
        <f t="shared" si="0"/>
        <v>91.25599115153005</v>
      </c>
      <c r="F22" s="31">
        <v>12311</v>
      </c>
      <c r="G22" s="31">
        <v>39</v>
      </c>
      <c r="H22" s="31">
        <v>3284</v>
      </c>
      <c r="I22" s="31">
        <v>586</v>
      </c>
      <c r="J22" s="31">
        <v>63</v>
      </c>
      <c r="K22" s="31">
        <v>14788</v>
      </c>
      <c r="L22" s="31">
        <f t="shared" si="1"/>
        <v>31071</v>
      </c>
      <c r="M22" s="267">
        <f t="shared" si="2"/>
        <v>39.62215570789483</v>
      </c>
      <c r="N22" s="267">
        <f t="shared" si="3"/>
        <v>0.12551897267548517</v>
      </c>
      <c r="O22" s="267">
        <f t="shared" si="4"/>
        <v>10.569341186315214</v>
      </c>
      <c r="P22" s="267">
        <f t="shared" si="5"/>
        <v>1.886003025329085</v>
      </c>
      <c r="Q22" s="267">
        <f t="shared" si="6"/>
        <v>0.20276141739886067</v>
      </c>
      <c r="R22" s="267">
        <f t="shared" si="7"/>
        <v>47.59421969038654</v>
      </c>
      <c r="S22" s="12">
        <f t="shared" si="8"/>
        <v>100</v>
      </c>
      <c r="T22" s="193"/>
    </row>
    <row r="23" spans="1:19" ht="15" customHeight="1">
      <c r="A23" s="138">
        <f>6!A23</f>
        <v>13</v>
      </c>
      <c r="B23" s="30" t="str">
        <f>6!B23</f>
        <v>Murung Raya</v>
      </c>
      <c r="C23" s="31">
        <v>23258</v>
      </c>
      <c r="D23" s="31">
        <v>16190</v>
      </c>
      <c r="E23" s="198">
        <f t="shared" si="0"/>
        <v>69.610456617078</v>
      </c>
      <c r="F23" s="31">
        <v>6669</v>
      </c>
      <c r="G23" s="31">
        <v>403</v>
      </c>
      <c r="H23" s="31">
        <v>3574</v>
      </c>
      <c r="I23" s="31">
        <v>221</v>
      </c>
      <c r="J23" s="31">
        <v>131</v>
      </c>
      <c r="K23" s="31">
        <v>6413</v>
      </c>
      <c r="L23" s="31">
        <f t="shared" si="1"/>
        <v>17411</v>
      </c>
      <c r="M23" s="267">
        <f t="shared" si="2"/>
        <v>38.30337143185343</v>
      </c>
      <c r="N23" s="267">
        <f t="shared" si="3"/>
        <v>2.3146286830164837</v>
      </c>
      <c r="O23" s="267">
        <f t="shared" si="4"/>
        <v>20.527252886106485</v>
      </c>
      <c r="P23" s="267">
        <f t="shared" si="5"/>
        <v>1.2693125035896848</v>
      </c>
      <c r="Q23" s="267">
        <f t="shared" si="6"/>
        <v>0.7523979093676412</v>
      </c>
      <c r="R23" s="267">
        <f t="shared" si="7"/>
        <v>36.83303658606628</v>
      </c>
      <c r="S23" s="12">
        <f t="shared" si="8"/>
        <v>100</v>
      </c>
    </row>
    <row r="24" spans="1:19" ht="15" customHeight="1">
      <c r="A24" s="138">
        <f>6!A24</f>
        <v>14</v>
      </c>
      <c r="B24" s="30" t="str">
        <f>6!B24</f>
        <v>Palangka Raya</v>
      </c>
      <c r="C24" s="31">
        <v>53443</v>
      </c>
      <c r="D24" s="31">
        <v>4807</v>
      </c>
      <c r="E24" s="198">
        <f t="shared" si="0"/>
        <v>8.994629792489194</v>
      </c>
      <c r="F24" s="31">
        <v>15235</v>
      </c>
      <c r="G24" s="31">
        <v>31235</v>
      </c>
      <c r="H24" s="31">
        <v>187</v>
      </c>
      <c r="I24" s="31">
        <v>0</v>
      </c>
      <c r="J24" s="31">
        <v>5344</v>
      </c>
      <c r="K24" s="31">
        <f>1330+112</f>
        <v>1442</v>
      </c>
      <c r="L24" s="31">
        <f t="shared" si="1"/>
        <v>53443</v>
      </c>
      <c r="M24" s="267">
        <f t="shared" si="2"/>
        <v>28.507007465898248</v>
      </c>
      <c r="N24" s="267">
        <f t="shared" si="3"/>
        <v>58.44544655053047</v>
      </c>
      <c r="O24" s="267">
        <f t="shared" si="4"/>
        <v>0.3499055068016391</v>
      </c>
      <c r="P24" s="12">
        <f t="shared" si="5"/>
        <v>0</v>
      </c>
      <c r="Q24" s="267">
        <f t="shared" si="6"/>
        <v>9.999438654267163</v>
      </c>
      <c r="R24" s="267">
        <f t="shared" si="7"/>
        <v>2.6982018225024795</v>
      </c>
      <c r="S24" s="12">
        <f t="shared" si="8"/>
        <v>100</v>
      </c>
    </row>
    <row r="25" spans="1:19" ht="15" customHeight="1">
      <c r="A25" s="158"/>
      <c r="B25" s="35"/>
      <c r="C25" s="36"/>
      <c r="D25" s="36"/>
      <c r="E25" s="199"/>
      <c r="F25" s="36"/>
      <c r="G25" s="36"/>
      <c r="H25" s="36"/>
      <c r="I25" s="36"/>
      <c r="J25" s="36"/>
      <c r="K25" s="36"/>
      <c r="L25" s="36"/>
      <c r="M25" s="12"/>
      <c r="N25" s="267"/>
      <c r="O25" s="267"/>
      <c r="P25" s="12"/>
      <c r="Q25" s="12"/>
      <c r="R25" s="267"/>
      <c r="S25" s="12"/>
    </row>
    <row r="26" spans="1:19" ht="19.5" customHeight="1" thickBot="1">
      <c r="A26" s="165" t="s">
        <v>859</v>
      </c>
      <c r="B26" s="70"/>
      <c r="C26" s="41">
        <f>SUM(C11:C25)</f>
        <v>570364</v>
      </c>
      <c r="D26" s="41">
        <f>SUM(D11:D25)</f>
        <v>154493</v>
      </c>
      <c r="E26" s="216">
        <f t="shared" si="0"/>
        <v>27.086737592134146</v>
      </c>
      <c r="F26" s="41">
        <f aca="true" t="shared" si="9" ref="F26:K26">SUM(F11:F25)</f>
        <v>68684</v>
      </c>
      <c r="G26" s="41">
        <f t="shared" si="9"/>
        <v>38594</v>
      </c>
      <c r="H26" s="41">
        <f t="shared" si="9"/>
        <v>52573</v>
      </c>
      <c r="I26" s="41">
        <f t="shared" si="9"/>
        <v>9034</v>
      </c>
      <c r="J26" s="41">
        <f t="shared" si="9"/>
        <v>6962</v>
      </c>
      <c r="K26" s="41">
        <f t="shared" si="9"/>
        <v>29373</v>
      </c>
      <c r="L26" s="212">
        <f t="shared" si="1"/>
        <v>205220</v>
      </c>
      <c r="M26" s="268">
        <f t="shared" si="2"/>
        <v>33.46847285839587</v>
      </c>
      <c r="N26" s="269">
        <f t="shared" si="3"/>
        <v>18.806159243738428</v>
      </c>
      <c r="O26" s="269">
        <f>H26/L26*100</f>
        <v>25.61787350160803</v>
      </c>
      <c r="P26" s="269">
        <f t="shared" si="5"/>
        <v>4.402105057986551</v>
      </c>
      <c r="Q26" s="269">
        <f t="shared" si="6"/>
        <v>3.3924568755481923</v>
      </c>
      <c r="R26" s="269">
        <f t="shared" si="7"/>
        <v>14.312932462722932</v>
      </c>
      <c r="S26" s="268">
        <f t="shared" si="8"/>
        <v>100</v>
      </c>
    </row>
    <row r="27" spans="1:12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7" ht="15">
      <c r="A28" s="14" t="s">
        <v>243</v>
      </c>
      <c r="F28" s="18"/>
      <c r="G28" s="18"/>
    </row>
    <row r="29" spans="2:20" ht="1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511"/>
      <c r="T29" s="18"/>
    </row>
    <row r="30" spans="1:20" ht="15">
      <c r="A30" s="18"/>
      <c r="B30" s="18"/>
      <c r="C30" s="18"/>
      <c r="D30" s="18"/>
      <c r="E30" s="18"/>
      <c r="F30" s="18"/>
      <c r="G30" s="18"/>
      <c r="H30" s="18"/>
      <c r="I30" s="18"/>
      <c r="J30" s="264"/>
      <c r="K30" s="264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.75">
      <c r="A31" s="18"/>
      <c r="B31" s="46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2:20" ht="1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2:20" ht="1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2:20" ht="15">
      <c r="B34" s="1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2:20" ht="1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</sheetData>
  <mergeCells count="10">
    <mergeCell ref="A4:S4"/>
    <mergeCell ref="A5:S5"/>
    <mergeCell ref="D8:D9"/>
    <mergeCell ref="A3:S3"/>
    <mergeCell ref="M8:S8"/>
    <mergeCell ref="C8:C9"/>
    <mergeCell ref="F8:L8"/>
    <mergeCell ref="A8:A9"/>
    <mergeCell ref="B8:B9"/>
    <mergeCell ref="E8:E9"/>
  </mergeCells>
  <printOptions horizontalCentered="1"/>
  <pageMargins left="1.6929133858267718" right="0.9055118110236221" top="1.141732283464567" bottom="0.9055118110236221" header="0" footer="1.1811023622047245"/>
  <pageSetup fitToHeight="1" fitToWidth="1" horizontalDpi="300" verticalDpi="300" orientation="landscape" paperSize="9" scale="60" r:id="rId1"/>
  <headerFooter alignWithMargins="0">
    <oddFooter>&amp;C105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31"/>
  <sheetViews>
    <sheetView zoomScale="75" zoomScaleNormal="75" workbookViewId="0" topLeftCell="A4">
      <selection activeCell="E10" sqref="E10"/>
    </sheetView>
  </sheetViews>
  <sheetFormatPr defaultColWidth="9.140625" defaultRowHeight="12.75"/>
  <cols>
    <col min="1" max="1" width="5.7109375" style="14" customWidth="1"/>
    <col min="2" max="2" width="21.7109375" style="14" customWidth="1"/>
    <col min="3" max="3" width="10.8515625" style="14" customWidth="1"/>
    <col min="4" max="4" width="10.57421875" style="14" customWidth="1"/>
    <col min="5" max="9" width="10.7109375" style="14" customWidth="1"/>
    <col min="10" max="10" width="11.7109375" style="14" customWidth="1"/>
    <col min="11" max="17" width="10.7109375" style="14" customWidth="1"/>
    <col min="18" max="18" width="11.7109375" style="14" customWidth="1"/>
    <col min="19" max="19" width="10.00390625" style="14" bestFit="1" customWidth="1"/>
    <col min="20" max="16384" width="9.140625" style="14" customWidth="1"/>
  </cols>
  <sheetData>
    <row r="1" spans="1:17" ht="15">
      <c r="A1" s="13" t="s">
        <v>283</v>
      </c>
      <c r="P1" s="5"/>
      <c r="Q1" s="5"/>
    </row>
    <row r="2" spans="16:17" ht="15">
      <c r="P2" s="5"/>
      <c r="Q2" s="5"/>
    </row>
    <row r="3" spans="1:18" ht="15">
      <c r="A3" s="15" t="s">
        <v>501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5">
      <c r="A4" s="641" t="s">
        <v>862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</row>
    <row r="5" spans="1:18" ht="15">
      <c r="A5" s="641" t="str">
        <f>1!A5</f>
        <v>PROVINSI KALIMANTAN TENGAH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</row>
    <row r="6" spans="1:18" ht="15">
      <c r="A6" s="642" t="str">
        <f>1!A6</f>
        <v>TAHUN 2009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</row>
    <row r="7" spans="1:18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.75" thickBot="1">
      <c r="A8" s="18"/>
      <c r="B8" s="18"/>
      <c r="C8" s="18"/>
      <c r="D8" s="18"/>
      <c r="E8" s="18"/>
      <c r="F8" s="17"/>
      <c r="G8" s="17"/>
      <c r="H8" s="17"/>
      <c r="I8" s="17"/>
      <c r="J8" s="17"/>
      <c r="K8" s="17"/>
      <c r="L8" s="18"/>
      <c r="M8" s="18"/>
      <c r="N8" s="18"/>
      <c r="O8" s="18"/>
      <c r="P8" s="9"/>
      <c r="Q8" s="9"/>
      <c r="R8" s="18"/>
    </row>
    <row r="9" spans="1:18" ht="19.5" customHeight="1">
      <c r="A9" s="634" t="s">
        <v>2</v>
      </c>
      <c r="B9" s="634" t="s">
        <v>844</v>
      </c>
      <c r="C9" s="93" t="s">
        <v>173</v>
      </c>
      <c r="D9" s="95"/>
      <c r="E9" s="95"/>
      <c r="F9" s="95"/>
      <c r="G9" s="95"/>
      <c r="H9" s="95"/>
      <c r="I9" s="95"/>
      <c r="J9" s="96"/>
      <c r="K9" s="93" t="s">
        <v>174</v>
      </c>
      <c r="L9" s="95"/>
      <c r="M9" s="95"/>
      <c r="N9" s="95"/>
      <c r="O9" s="95"/>
      <c r="P9" s="95"/>
      <c r="Q9" s="95"/>
      <c r="R9" s="96"/>
    </row>
    <row r="10" spans="1:18" ht="71.25">
      <c r="A10" s="636"/>
      <c r="B10" s="636"/>
      <c r="C10" s="8" t="s">
        <v>175</v>
      </c>
      <c r="D10" s="48" t="s">
        <v>176</v>
      </c>
      <c r="E10" s="48" t="s">
        <v>177</v>
      </c>
      <c r="F10" s="48" t="s">
        <v>178</v>
      </c>
      <c r="G10" s="48" t="s">
        <v>179</v>
      </c>
      <c r="H10" s="97" t="s">
        <v>180</v>
      </c>
      <c r="I10" s="53" t="s">
        <v>181</v>
      </c>
      <c r="J10" s="53" t="s">
        <v>21</v>
      </c>
      <c r="K10" s="8" t="s">
        <v>175</v>
      </c>
      <c r="L10" s="48" t="s">
        <v>176</v>
      </c>
      <c r="M10" s="48" t="s">
        <v>177</v>
      </c>
      <c r="N10" s="48" t="s">
        <v>178</v>
      </c>
      <c r="O10" s="48" t="s">
        <v>179</v>
      </c>
      <c r="P10" s="97" t="s">
        <v>180</v>
      </c>
      <c r="Q10" s="53" t="s">
        <v>181</v>
      </c>
      <c r="R10" s="53" t="s">
        <v>21</v>
      </c>
    </row>
    <row r="11" spans="1:18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61">
        <v>8</v>
      </c>
      <c r="I11" s="11">
        <v>9</v>
      </c>
      <c r="J11" s="11">
        <v>10</v>
      </c>
      <c r="K11" s="61">
        <v>11</v>
      </c>
      <c r="L11" s="11">
        <v>12</v>
      </c>
      <c r="M11" s="11">
        <v>13</v>
      </c>
      <c r="N11" s="61">
        <v>14</v>
      </c>
      <c r="O11" s="11">
        <v>15</v>
      </c>
      <c r="P11" s="11">
        <v>16</v>
      </c>
      <c r="Q11" s="61">
        <v>17</v>
      </c>
      <c r="R11" s="11">
        <v>18</v>
      </c>
    </row>
    <row r="12" spans="1:18" ht="15">
      <c r="A12" s="138">
        <f>1!A12</f>
        <v>1</v>
      </c>
      <c r="B12" s="30" t="str">
        <f>1!B12</f>
        <v>Kotawaringin Barat</v>
      </c>
      <c r="C12" s="63" t="s">
        <v>694</v>
      </c>
      <c r="D12" s="63" t="s">
        <v>694</v>
      </c>
      <c r="E12" s="63" t="s">
        <v>694</v>
      </c>
      <c r="F12" s="63" t="s">
        <v>694</v>
      </c>
      <c r="G12" s="63" t="s">
        <v>694</v>
      </c>
      <c r="H12" s="63" t="s">
        <v>694</v>
      </c>
      <c r="I12" s="63" t="s">
        <v>694</v>
      </c>
      <c r="J12" s="64">
        <v>98090</v>
      </c>
      <c r="K12" s="63" t="s">
        <v>694</v>
      </c>
      <c r="L12" s="63" t="s">
        <v>694</v>
      </c>
      <c r="M12" s="63" t="s">
        <v>694</v>
      </c>
      <c r="N12" s="63" t="s">
        <v>694</v>
      </c>
      <c r="O12" s="63" t="s">
        <v>694</v>
      </c>
      <c r="P12" s="63" t="s">
        <v>694</v>
      </c>
      <c r="Q12" s="63" t="s">
        <v>694</v>
      </c>
      <c r="R12" s="64">
        <v>88257</v>
      </c>
    </row>
    <row r="13" spans="1:18" ht="15">
      <c r="A13" s="138">
        <f>1!A13</f>
        <v>2</v>
      </c>
      <c r="B13" s="30" t="str">
        <f>1!B13</f>
        <v>Lamandau</v>
      </c>
      <c r="C13" s="63" t="s">
        <v>694</v>
      </c>
      <c r="D13" s="63" t="s">
        <v>694</v>
      </c>
      <c r="E13" s="63" t="s">
        <v>694</v>
      </c>
      <c r="F13" s="63" t="s">
        <v>694</v>
      </c>
      <c r="G13" s="63" t="s">
        <v>694</v>
      </c>
      <c r="H13" s="63" t="s">
        <v>694</v>
      </c>
      <c r="I13" s="63" t="s">
        <v>694</v>
      </c>
      <c r="J13" s="63" t="s">
        <v>694</v>
      </c>
      <c r="K13" s="63" t="s">
        <v>694</v>
      </c>
      <c r="L13" s="63" t="s">
        <v>694</v>
      </c>
      <c r="M13" s="63" t="s">
        <v>694</v>
      </c>
      <c r="N13" s="63" t="s">
        <v>694</v>
      </c>
      <c r="O13" s="63" t="s">
        <v>694</v>
      </c>
      <c r="P13" s="63" t="s">
        <v>694</v>
      </c>
      <c r="Q13" s="63" t="s">
        <v>694</v>
      </c>
      <c r="R13" s="63" t="s">
        <v>694</v>
      </c>
    </row>
    <row r="14" spans="1:18" ht="15">
      <c r="A14" s="138">
        <f>1!A14</f>
        <v>3</v>
      </c>
      <c r="B14" s="30" t="str">
        <f>1!B14</f>
        <v>Sukamara</v>
      </c>
      <c r="C14" s="63" t="s">
        <v>694</v>
      </c>
      <c r="D14" s="63" t="s">
        <v>694</v>
      </c>
      <c r="E14" s="63" t="s">
        <v>694</v>
      </c>
      <c r="F14" s="63" t="s">
        <v>694</v>
      </c>
      <c r="G14" s="63" t="s">
        <v>694</v>
      </c>
      <c r="H14" s="63" t="s">
        <v>694</v>
      </c>
      <c r="I14" s="63" t="s">
        <v>694</v>
      </c>
      <c r="J14" s="63" t="s">
        <v>694</v>
      </c>
      <c r="K14" s="63" t="s">
        <v>694</v>
      </c>
      <c r="L14" s="63" t="s">
        <v>694</v>
      </c>
      <c r="M14" s="63" t="s">
        <v>694</v>
      </c>
      <c r="N14" s="63" t="s">
        <v>694</v>
      </c>
      <c r="O14" s="63" t="s">
        <v>694</v>
      </c>
      <c r="P14" s="63" t="s">
        <v>694</v>
      </c>
      <c r="Q14" s="63" t="s">
        <v>694</v>
      </c>
      <c r="R14" s="63" t="s">
        <v>694</v>
      </c>
    </row>
    <row r="15" spans="1:18" ht="15">
      <c r="A15" s="138">
        <f>1!A15</f>
        <v>4</v>
      </c>
      <c r="B15" s="30" t="str">
        <f>1!B15</f>
        <v>Kotawaringin Timur</v>
      </c>
      <c r="C15" s="62">
        <v>2128</v>
      </c>
      <c r="D15" s="62">
        <v>2080</v>
      </c>
      <c r="E15" s="62">
        <v>19850</v>
      </c>
      <c r="F15" s="62">
        <v>8846</v>
      </c>
      <c r="G15" s="62">
        <v>7028</v>
      </c>
      <c r="H15" s="65">
        <v>941</v>
      </c>
      <c r="I15" s="65">
        <v>758</v>
      </c>
      <c r="J15" s="65">
        <f>SUM(C15:I15)</f>
        <v>41631</v>
      </c>
      <c r="K15" s="62">
        <v>2457</v>
      </c>
      <c r="L15" s="62">
        <v>2339</v>
      </c>
      <c r="M15" s="62">
        <v>20027</v>
      </c>
      <c r="N15" s="62">
        <v>9875</v>
      </c>
      <c r="O15" s="62">
        <v>8379</v>
      </c>
      <c r="P15" s="470">
        <v>938</v>
      </c>
      <c r="Q15" s="470">
        <v>631</v>
      </c>
      <c r="R15" s="65">
        <f>SUM(K15:Q15)</f>
        <v>44646</v>
      </c>
    </row>
    <row r="16" spans="1:18" ht="15">
      <c r="A16" s="138">
        <f>1!A16</f>
        <v>5</v>
      </c>
      <c r="B16" s="30" t="str">
        <f>1!B16</f>
        <v>Seruyan</v>
      </c>
      <c r="C16" s="63" t="s">
        <v>694</v>
      </c>
      <c r="D16" s="63" t="s">
        <v>694</v>
      </c>
      <c r="E16" s="63">
        <v>9266</v>
      </c>
      <c r="F16" s="63">
        <v>2550</v>
      </c>
      <c r="G16" s="63">
        <v>544</v>
      </c>
      <c r="H16" s="63" t="s">
        <v>694</v>
      </c>
      <c r="I16" s="63" t="s">
        <v>694</v>
      </c>
      <c r="J16" s="64">
        <f>SUM(C16:I16)</f>
        <v>12360</v>
      </c>
      <c r="K16" s="63" t="s">
        <v>694</v>
      </c>
      <c r="L16" s="63" t="s">
        <v>694</v>
      </c>
      <c r="M16" s="63">
        <v>8643</v>
      </c>
      <c r="N16" s="63">
        <v>2441</v>
      </c>
      <c r="O16" s="63">
        <v>533</v>
      </c>
      <c r="P16" s="63" t="s">
        <v>694</v>
      </c>
      <c r="Q16" s="63" t="s">
        <v>694</v>
      </c>
      <c r="R16" s="64">
        <f>SUM(K16:Q16)</f>
        <v>11617</v>
      </c>
    </row>
    <row r="17" spans="1:18" ht="15">
      <c r="A17" s="138">
        <f>1!A17</f>
        <v>6</v>
      </c>
      <c r="B17" s="30" t="str">
        <f>1!B17</f>
        <v>Katingan</v>
      </c>
      <c r="C17" s="63" t="s">
        <v>694</v>
      </c>
      <c r="D17" s="63" t="s">
        <v>694</v>
      </c>
      <c r="E17" s="63" t="s">
        <v>694</v>
      </c>
      <c r="F17" s="63" t="s">
        <v>694</v>
      </c>
      <c r="G17" s="63" t="s">
        <v>694</v>
      </c>
      <c r="H17" s="63" t="s">
        <v>694</v>
      </c>
      <c r="I17" s="63" t="s">
        <v>694</v>
      </c>
      <c r="J17" s="63" t="s">
        <v>694</v>
      </c>
      <c r="K17" s="63" t="s">
        <v>694</v>
      </c>
      <c r="L17" s="63" t="s">
        <v>694</v>
      </c>
      <c r="M17" s="63" t="s">
        <v>694</v>
      </c>
      <c r="N17" s="63" t="s">
        <v>694</v>
      </c>
      <c r="O17" s="63" t="s">
        <v>694</v>
      </c>
      <c r="P17" s="63" t="s">
        <v>694</v>
      </c>
      <c r="Q17" s="63" t="s">
        <v>694</v>
      </c>
      <c r="R17" s="63" t="s">
        <v>694</v>
      </c>
    </row>
    <row r="18" spans="1:18" ht="15">
      <c r="A18" s="138">
        <f>1!A18</f>
        <v>7</v>
      </c>
      <c r="B18" s="30" t="str">
        <f>1!B18</f>
        <v>Kapuas</v>
      </c>
      <c r="C18" s="63" t="s">
        <v>694</v>
      </c>
      <c r="D18" s="63" t="s">
        <v>694</v>
      </c>
      <c r="E18" s="63" t="s">
        <v>694</v>
      </c>
      <c r="F18" s="63" t="s">
        <v>694</v>
      </c>
      <c r="G18" s="63" t="s">
        <v>694</v>
      </c>
      <c r="H18" s="63" t="s">
        <v>694</v>
      </c>
      <c r="I18" s="63" t="s">
        <v>694</v>
      </c>
      <c r="J18" s="63" t="s">
        <v>694</v>
      </c>
      <c r="K18" s="63" t="s">
        <v>694</v>
      </c>
      <c r="L18" s="63" t="s">
        <v>694</v>
      </c>
      <c r="M18" s="63" t="s">
        <v>694</v>
      </c>
      <c r="N18" s="63" t="s">
        <v>694</v>
      </c>
      <c r="O18" s="63" t="s">
        <v>694</v>
      </c>
      <c r="P18" s="63" t="s">
        <v>694</v>
      </c>
      <c r="Q18" s="63" t="s">
        <v>694</v>
      </c>
      <c r="R18" s="63" t="s">
        <v>694</v>
      </c>
    </row>
    <row r="19" spans="1:18" ht="15">
      <c r="A19" s="138">
        <f>1!A19</f>
        <v>8</v>
      </c>
      <c r="B19" s="30" t="str">
        <f>1!B19</f>
        <v>Pulang Pisau</v>
      </c>
      <c r="C19" s="63" t="s">
        <v>694</v>
      </c>
      <c r="D19" s="63" t="s">
        <v>694</v>
      </c>
      <c r="E19" s="63" t="s">
        <v>694</v>
      </c>
      <c r="F19" s="63" t="s">
        <v>694</v>
      </c>
      <c r="G19" s="63" t="s">
        <v>694</v>
      </c>
      <c r="H19" s="63" t="s">
        <v>694</v>
      </c>
      <c r="I19" s="63" t="s">
        <v>694</v>
      </c>
      <c r="J19" s="63" t="s">
        <v>694</v>
      </c>
      <c r="K19" s="63" t="s">
        <v>694</v>
      </c>
      <c r="L19" s="63" t="s">
        <v>694</v>
      </c>
      <c r="M19" s="63" t="s">
        <v>694</v>
      </c>
      <c r="N19" s="63" t="s">
        <v>694</v>
      </c>
      <c r="O19" s="63" t="s">
        <v>694</v>
      </c>
      <c r="P19" s="63" t="s">
        <v>694</v>
      </c>
      <c r="Q19" s="63" t="s">
        <v>694</v>
      </c>
      <c r="R19" s="63" t="s">
        <v>694</v>
      </c>
    </row>
    <row r="20" spans="1:18" ht="15">
      <c r="A20" s="138">
        <f>1!A20</f>
        <v>9</v>
      </c>
      <c r="B20" s="30" t="str">
        <f>1!B20</f>
        <v>Gunung Mas</v>
      </c>
      <c r="C20" s="62">
        <v>10425</v>
      </c>
      <c r="D20" s="62">
        <v>10629</v>
      </c>
      <c r="E20" s="62">
        <v>14092</v>
      </c>
      <c r="F20" s="62">
        <v>12159</v>
      </c>
      <c r="G20" s="62">
        <v>10472</v>
      </c>
      <c r="H20" s="65">
        <v>1480</v>
      </c>
      <c r="I20" s="65">
        <v>1528</v>
      </c>
      <c r="J20" s="65">
        <f>SUM(C20:I20)</f>
        <v>60785</v>
      </c>
      <c r="K20" s="62">
        <v>9706</v>
      </c>
      <c r="L20" s="62">
        <v>9822</v>
      </c>
      <c r="M20" s="62">
        <v>12743</v>
      </c>
      <c r="N20" s="62">
        <v>10337</v>
      </c>
      <c r="O20" s="62">
        <v>8157</v>
      </c>
      <c r="P20" s="470">
        <v>2274</v>
      </c>
      <c r="Q20" s="470">
        <v>1137</v>
      </c>
      <c r="R20" s="65">
        <f>SUM(K20:Q20)</f>
        <v>54176</v>
      </c>
    </row>
    <row r="21" spans="1:18" ht="15">
      <c r="A21" s="138">
        <f>1!A21</f>
        <v>10</v>
      </c>
      <c r="B21" s="30" t="str">
        <f>1!B21</f>
        <v>Barito Selatan</v>
      </c>
      <c r="C21" s="63" t="s">
        <v>694</v>
      </c>
      <c r="D21" s="63" t="s">
        <v>694</v>
      </c>
      <c r="E21" s="63" t="s">
        <v>694</v>
      </c>
      <c r="F21" s="63" t="s">
        <v>694</v>
      </c>
      <c r="G21" s="63" t="s">
        <v>694</v>
      </c>
      <c r="H21" s="63" t="s">
        <v>694</v>
      </c>
      <c r="I21" s="63" t="s">
        <v>694</v>
      </c>
      <c r="J21" s="63" t="s">
        <v>694</v>
      </c>
      <c r="K21" s="63" t="s">
        <v>694</v>
      </c>
      <c r="L21" s="63" t="s">
        <v>694</v>
      </c>
      <c r="M21" s="63" t="s">
        <v>694</v>
      </c>
      <c r="N21" s="63" t="s">
        <v>694</v>
      </c>
      <c r="O21" s="63" t="s">
        <v>694</v>
      </c>
      <c r="P21" s="63" t="s">
        <v>694</v>
      </c>
      <c r="Q21" s="63" t="s">
        <v>694</v>
      </c>
      <c r="R21" s="63" t="s">
        <v>694</v>
      </c>
    </row>
    <row r="22" spans="1:18" ht="15">
      <c r="A22" s="138">
        <f>1!A22</f>
        <v>11</v>
      </c>
      <c r="B22" s="30" t="str">
        <f>1!B22</f>
        <v>Barito Timur</v>
      </c>
      <c r="C22" s="63" t="s">
        <v>694</v>
      </c>
      <c r="D22" s="63" t="s">
        <v>694</v>
      </c>
      <c r="E22" s="63" t="s">
        <v>694</v>
      </c>
      <c r="F22" s="63" t="s">
        <v>694</v>
      </c>
      <c r="G22" s="63" t="s">
        <v>694</v>
      </c>
      <c r="H22" s="63" t="s">
        <v>694</v>
      </c>
      <c r="I22" s="63" t="s">
        <v>694</v>
      </c>
      <c r="J22" s="63" t="s">
        <v>694</v>
      </c>
      <c r="K22" s="63" t="s">
        <v>694</v>
      </c>
      <c r="L22" s="63" t="s">
        <v>694</v>
      </c>
      <c r="M22" s="63" t="s">
        <v>694</v>
      </c>
      <c r="N22" s="63" t="s">
        <v>694</v>
      </c>
      <c r="O22" s="63" t="s">
        <v>694</v>
      </c>
      <c r="P22" s="63" t="s">
        <v>694</v>
      </c>
      <c r="Q22" s="63" t="s">
        <v>694</v>
      </c>
      <c r="R22" s="63" t="s">
        <v>694</v>
      </c>
    </row>
    <row r="23" spans="1:19" ht="15">
      <c r="A23" s="138">
        <f>1!A23</f>
        <v>12</v>
      </c>
      <c r="B23" s="30" t="str">
        <f>1!B23</f>
        <v>Barito Utara</v>
      </c>
      <c r="C23" s="62">
        <v>5094</v>
      </c>
      <c r="D23" s="62">
        <v>1951</v>
      </c>
      <c r="E23" s="62">
        <v>8236</v>
      </c>
      <c r="F23" s="62">
        <v>3063</v>
      </c>
      <c r="G23" s="62">
        <v>4678</v>
      </c>
      <c r="H23" s="65">
        <v>0</v>
      </c>
      <c r="I23" s="65">
        <v>0</v>
      </c>
      <c r="J23" s="64">
        <f>SUM(C23:I23)</f>
        <v>23022</v>
      </c>
      <c r="K23" s="62">
        <v>4934</v>
      </c>
      <c r="L23" s="62">
        <v>1883</v>
      </c>
      <c r="M23" s="62">
        <v>8104</v>
      </c>
      <c r="N23" s="62">
        <v>3020</v>
      </c>
      <c r="O23" s="62">
        <v>4277</v>
      </c>
      <c r="P23" s="470">
        <v>0</v>
      </c>
      <c r="Q23" s="470">
        <v>0</v>
      </c>
      <c r="R23" s="65">
        <f>SUM(K23:Q23)</f>
        <v>22218</v>
      </c>
      <c r="S23" s="469"/>
    </row>
    <row r="24" spans="1:18" ht="15">
      <c r="A24" s="138">
        <f>1!A24</f>
        <v>13</v>
      </c>
      <c r="B24" s="30" t="str">
        <f>1!B24</f>
        <v>Murung Raya</v>
      </c>
      <c r="C24" s="63" t="s">
        <v>694</v>
      </c>
      <c r="D24" s="63" t="s">
        <v>694</v>
      </c>
      <c r="E24" s="63" t="s">
        <v>694</v>
      </c>
      <c r="F24" s="63" t="s">
        <v>694</v>
      </c>
      <c r="G24" s="63" t="s">
        <v>694</v>
      </c>
      <c r="H24" s="63" t="s">
        <v>694</v>
      </c>
      <c r="I24" s="63" t="s">
        <v>694</v>
      </c>
      <c r="J24" s="63" t="s">
        <v>694</v>
      </c>
      <c r="K24" s="63" t="s">
        <v>694</v>
      </c>
      <c r="L24" s="63" t="s">
        <v>694</v>
      </c>
      <c r="M24" s="63" t="s">
        <v>694</v>
      </c>
      <c r="N24" s="63" t="s">
        <v>694</v>
      </c>
      <c r="O24" s="63" t="s">
        <v>694</v>
      </c>
      <c r="P24" s="63" t="s">
        <v>694</v>
      </c>
      <c r="Q24" s="63" t="s">
        <v>694</v>
      </c>
      <c r="R24" s="63" t="s">
        <v>694</v>
      </c>
    </row>
    <row r="25" spans="1:18" ht="15">
      <c r="A25" s="138">
        <f>1!A25</f>
        <v>14</v>
      </c>
      <c r="B25" s="30" t="str">
        <f>1!B25</f>
        <v>Palangka Raya</v>
      </c>
      <c r="C25" s="63">
        <v>9036</v>
      </c>
      <c r="D25" s="63">
        <v>0</v>
      </c>
      <c r="E25" s="63">
        <v>15207</v>
      </c>
      <c r="F25" s="63">
        <v>14013</v>
      </c>
      <c r="G25" s="63">
        <v>30325</v>
      </c>
      <c r="H25" s="64">
        <v>2612</v>
      </c>
      <c r="I25" s="64">
        <v>7668</v>
      </c>
      <c r="J25" s="64">
        <f>SUM(C25:I25)</f>
        <v>78861</v>
      </c>
      <c r="K25" s="63">
        <v>10181</v>
      </c>
      <c r="L25" s="63">
        <v>0</v>
      </c>
      <c r="M25" s="63">
        <v>15367</v>
      </c>
      <c r="N25" s="68">
        <v>14279</v>
      </c>
      <c r="O25" s="63">
        <v>29106</v>
      </c>
      <c r="P25" s="507">
        <v>3806</v>
      </c>
      <c r="Q25" s="507">
        <v>7343</v>
      </c>
      <c r="R25" s="64">
        <f>SUM(K25:Q25)</f>
        <v>80082</v>
      </c>
    </row>
    <row r="26" spans="1:18" ht="15">
      <c r="A26" s="35"/>
      <c r="B26" s="35"/>
      <c r="C26" s="35"/>
      <c r="D26" s="35"/>
      <c r="E26" s="35"/>
      <c r="F26" s="35"/>
      <c r="G26" s="35"/>
      <c r="H26" s="99"/>
      <c r="I26" s="99"/>
      <c r="J26" s="100"/>
      <c r="K26" s="35"/>
      <c r="L26" s="35"/>
      <c r="M26" s="35"/>
      <c r="N26" s="101"/>
      <c r="O26" s="35"/>
      <c r="P26" s="102"/>
      <c r="Q26" s="102"/>
      <c r="R26" s="100"/>
    </row>
    <row r="27" spans="1:18" ht="19.5" customHeight="1" thickBot="1">
      <c r="A27" s="37" t="s">
        <v>859</v>
      </c>
      <c r="B27" s="104"/>
      <c r="C27" s="602">
        <f aca="true" t="shared" si="0" ref="C27:I27">SUM(C12:C25)</f>
        <v>26683</v>
      </c>
      <c r="D27" s="602">
        <f t="shared" si="0"/>
        <v>14660</v>
      </c>
      <c r="E27" s="602">
        <f t="shared" si="0"/>
        <v>66651</v>
      </c>
      <c r="F27" s="602">
        <f t="shared" si="0"/>
        <v>40631</v>
      </c>
      <c r="G27" s="602">
        <f t="shared" si="0"/>
        <v>53047</v>
      </c>
      <c r="H27" s="602">
        <f t="shared" si="0"/>
        <v>5033</v>
      </c>
      <c r="I27" s="602">
        <f t="shared" si="0"/>
        <v>9954</v>
      </c>
      <c r="J27" s="603">
        <f>SUM(C27:I27)</f>
        <v>216659</v>
      </c>
      <c r="K27" s="602">
        <f aca="true" t="shared" si="1" ref="K27:Q27">SUM(K12:K25)</f>
        <v>27278</v>
      </c>
      <c r="L27" s="602">
        <f t="shared" si="1"/>
        <v>14044</v>
      </c>
      <c r="M27" s="602">
        <f t="shared" si="1"/>
        <v>64884</v>
      </c>
      <c r="N27" s="602">
        <f t="shared" si="1"/>
        <v>39952</v>
      </c>
      <c r="O27" s="602">
        <f t="shared" si="1"/>
        <v>50452</v>
      </c>
      <c r="P27" s="602">
        <f t="shared" si="1"/>
        <v>7018</v>
      </c>
      <c r="Q27" s="602">
        <f t="shared" si="1"/>
        <v>9111</v>
      </c>
      <c r="R27" s="603">
        <f>SUM(K27:Q27)</f>
        <v>212739</v>
      </c>
    </row>
    <row r="28" spans="1:18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9"/>
      <c r="Q28" s="9"/>
      <c r="R28" s="18"/>
    </row>
    <row r="29" spans="1:17" ht="15">
      <c r="A29" s="42" t="s">
        <v>243</v>
      </c>
      <c r="B29" s="42"/>
      <c r="C29" s="42"/>
      <c r="P29" s="5"/>
      <c r="Q29" s="5"/>
    </row>
    <row r="30" spans="16:17" ht="15">
      <c r="P30" s="5"/>
      <c r="Q30" s="5"/>
    </row>
    <row r="31" spans="16:17" ht="15">
      <c r="P31" s="5"/>
      <c r="Q31" s="5"/>
    </row>
  </sheetData>
  <mergeCells count="5">
    <mergeCell ref="A4:R4"/>
    <mergeCell ref="A5:R5"/>
    <mergeCell ref="A6:R6"/>
    <mergeCell ref="A9:A10"/>
    <mergeCell ref="B9:B10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58" r:id="rId1"/>
  <headerFooter alignWithMargins="0">
    <oddFooter>&amp;C61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S31"/>
  <sheetViews>
    <sheetView zoomScale="75" zoomScaleNormal="75" workbookViewId="0" topLeftCell="A1">
      <selection activeCell="K26" sqref="K26"/>
    </sheetView>
  </sheetViews>
  <sheetFormatPr defaultColWidth="9.140625" defaultRowHeight="12.75"/>
  <cols>
    <col min="1" max="1" width="5.7109375" style="14" customWidth="1"/>
    <col min="2" max="2" width="29.140625" style="14" customWidth="1"/>
    <col min="3" max="3" width="18.00390625" style="14" customWidth="1"/>
    <col min="4" max="4" width="11.28125" style="14" customWidth="1"/>
    <col min="5" max="5" width="10.57421875" style="14" customWidth="1"/>
    <col min="6" max="6" width="10.00390625" style="14" customWidth="1"/>
    <col min="7" max="7" width="10.421875" style="14" customWidth="1"/>
    <col min="8" max="8" width="10.28125" style="14" customWidth="1"/>
    <col min="9" max="9" width="11.140625" style="14" customWidth="1"/>
    <col min="10" max="10" width="9.8515625" style="14" customWidth="1"/>
    <col min="11" max="11" width="10.421875" style="14" customWidth="1"/>
    <col min="12" max="12" width="9.7109375" style="14" customWidth="1"/>
    <col min="13" max="13" width="9.421875" style="14" customWidth="1"/>
    <col min="14" max="14" width="11.00390625" style="14" customWidth="1"/>
    <col min="15" max="16" width="10.00390625" style="14" customWidth="1"/>
    <col min="17" max="17" width="12.57421875" style="14" customWidth="1"/>
    <col min="18" max="18" width="10.140625" style="14" customWidth="1"/>
    <col min="19" max="19" width="8.7109375" style="14" customWidth="1"/>
    <col min="20" max="16384" width="9.140625" style="14" customWidth="1"/>
  </cols>
  <sheetData>
    <row r="1" ht="15">
      <c r="A1" s="13" t="s">
        <v>430</v>
      </c>
    </row>
    <row r="3" spans="1:19" ht="15">
      <c r="A3" s="641" t="s">
        <v>891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15"/>
    </row>
    <row r="4" spans="1:19" ht="15">
      <c r="A4" s="641" t="str">
        <f>1!A5</f>
        <v>PROVINSI KALIMANTAN TENGAH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15"/>
    </row>
    <row r="5" spans="1:19" ht="15">
      <c r="A5" s="641" t="str">
        <f>1!A6</f>
        <v>TAHUN 2009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15"/>
    </row>
    <row r="6" spans="1:19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5"/>
    </row>
    <row r="7" spans="10:17" ht="15.75" thickBot="1">
      <c r="J7" s="9"/>
      <c r="K7" s="9"/>
      <c r="L7" s="9"/>
      <c r="M7" s="9"/>
      <c r="N7" s="9"/>
      <c r="O7" s="9"/>
      <c r="P7" s="9"/>
      <c r="Q7" s="9"/>
    </row>
    <row r="8" spans="1:19" ht="26.25" customHeight="1">
      <c r="A8" s="663" t="s">
        <v>2</v>
      </c>
      <c r="B8" s="712" t="s">
        <v>3</v>
      </c>
      <c r="C8" s="547" t="s">
        <v>391</v>
      </c>
      <c r="D8" s="580" t="s">
        <v>392</v>
      </c>
      <c r="E8" s="581"/>
      <c r="F8" s="581"/>
      <c r="G8" s="581"/>
      <c r="H8" s="556"/>
      <c r="I8" s="580" t="s">
        <v>394</v>
      </c>
      <c r="J8" s="581"/>
      <c r="K8" s="581"/>
      <c r="L8" s="581"/>
      <c r="M8" s="556"/>
      <c r="N8" s="665" t="s">
        <v>395</v>
      </c>
      <c r="O8" s="665"/>
      <c r="P8" s="665"/>
      <c r="Q8" s="665"/>
      <c r="R8" s="665"/>
      <c r="S8" s="168"/>
    </row>
    <row r="9" spans="1:19" ht="68.25" customHeight="1">
      <c r="A9" s="664"/>
      <c r="B9" s="703"/>
      <c r="C9" s="560"/>
      <c r="D9" s="262" t="s">
        <v>396</v>
      </c>
      <c r="E9" s="270" t="s">
        <v>397</v>
      </c>
      <c r="F9" s="270" t="s">
        <v>568</v>
      </c>
      <c r="G9" s="262" t="s">
        <v>398</v>
      </c>
      <c r="H9" s="262" t="s">
        <v>49</v>
      </c>
      <c r="I9" s="262" t="s">
        <v>396</v>
      </c>
      <c r="J9" s="270" t="s">
        <v>397</v>
      </c>
      <c r="K9" s="270" t="s">
        <v>568</v>
      </c>
      <c r="L9" s="262" t="s">
        <v>398</v>
      </c>
      <c r="M9" s="262" t="s">
        <v>49</v>
      </c>
      <c r="N9" s="262" t="s">
        <v>396</v>
      </c>
      <c r="O9" s="270" t="s">
        <v>397</v>
      </c>
      <c r="P9" s="270" t="s">
        <v>568</v>
      </c>
      <c r="Q9" s="262" t="s">
        <v>398</v>
      </c>
      <c r="R9" s="262" t="s">
        <v>49</v>
      </c>
      <c r="S9" s="374"/>
    </row>
    <row r="10" spans="1:19" ht="15">
      <c r="A10" s="11">
        <v>1</v>
      </c>
      <c r="B10" s="59">
        <v>2</v>
      </c>
      <c r="C10" s="59">
        <v>4</v>
      </c>
      <c r="D10" s="11">
        <v>5</v>
      </c>
      <c r="E10" s="59">
        <v>6</v>
      </c>
      <c r="F10" s="59">
        <v>7</v>
      </c>
      <c r="G10" s="11">
        <v>8</v>
      </c>
      <c r="H10" s="11">
        <v>9</v>
      </c>
      <c r="I10" s="59">
        <v>10</v>
      </c>
      <c r="J10" s="11">
        <v>11</v>
      </c>
      <c r="K10" s="11">
        <v>12</v>
      </c>
      <c r="L10" s="59">
        <v>13</v>
      </c>
      <c r="M10" s="59">
        <v>14</v>
      </c>
      <c r="N10" s="11">
        <v>15</v>
      </c>
      <c r="O10" s="59">
        <v>16</v>
      </c>
      <c r="P10" s="59">
        <v>17</v>
      </c>
      <c r="Q10" s="11">
        <v>18</v>
      </c>
      <c r="R10" s="11">
        <v>19</v>
      </c>
      <c r="S10" s="9"/>
    </row>
    <row r="11" spans="1:19" ht="15" customHeight="1">
      <c r="A11" s="138">
        <f>6!A11</f>
        <v>1</v>
      </c>
      <c r="B11" s="138" t="str">
        <f>6!B11</f>
        <v>Kotawaringin Barat</v>
      </c>
      <c r="C11" s="139">
        <f>'48'!C11</f>
        <v>66879</v>
      </c>
      <c r="D11" s="31">
        <v>26862</v>
      </c>
      <c r="E11" s="31">
        <v>22810</v>
      </c>
      <c r="F11" s="31">
        <v>21793</v>
      </c>
      <c r="G11" s="188">
        <f>E11/D11*100</f>
        <v>84.91549400640311</v>
      </c>
      <c r="H11" s="188">
        <f>F11/E11*100</f>
        <v>95.54142919772029</v>
      </c>
      <c r="I11" s="31">
        <v>26862</v>
      </c>
      <c r="J11" s="31">
        <v>14674</v>
      </c>
      <c r="K11" s="31">
        <v>12787</v>
      </c>
      <c r="L11" s="188">
        <f>J11/I11*100</f>
        <v>54.62735462735463</v>
      </c>
      <c r="M11" s="188">
        <f>K11/J11*100</f>
        <v>87.14052064876653</v>
      </c>
      <c r="N11" s="31">
        <v>26862</v>
      </c>
      <c r="O11" s="31">
        <v>11753</v>
      </c>
      <c r="P11" s="31">
        <v>9101</v>
      </c>
      <c r="Q11" s="476">
        <f>O11/N11*100</f>
        <v>43.75325738962103</v>
      </c>
      <c r="R11" s="271">
        <f>P11/O11*100</f>
        <v>77.43554837062877</v>
      </c>
      <c r="S11" s="375"/>
    </row>
    <row r="12" spans="1:19" ht="15" customHeight="1">
      <c r="A12" s="138">
        <f>6!A12</f>
        <v>2</v>
      </c>
      <c r="B12" s="138" t="str">
        <f>6!B12</f>
        <v>Lamandau</v>
      </c>
      <c r="C12" s="139">
        <f>'48'!C12</f>
        <v>15389</v>
      </c>
      <c r="D12" s="139">
        <v>294</v>
      </c>
      <c r="E12" s="139">
        <v>224</v>
      </c>
      <c r="F12" s="139">
        <v>224</v>
      </c>
      <c r="G12" s="460">
        <f aca="true" t="shared" si="0" ref="G12:G26">E12/D12*100</f>
        <v>76.19047619047619</v>
      </c>
      <c r="H12" s="171">
        <f aca="true" t="shared" si="1" ref="H12:H26">F12/E12*100</f>
        <v>100</v>
      </c>
      <c r="I12" s="139">
        <v>64</v>
      </c>
      <c r="J12" s="139">
        <v>57</v>
      </c>
      <c r="K12" s="139">
        <v>57</v>
      </c>
      <c r="L12" s="460">
        <f aca="true" t="shared" si="2" ref="L12:L26">J12/I12*100</f>
        <v>89.0625</v>
      </c>
      <c r="M12" s="171">
        <f aca="true" t="shared" si="3" ref="M12:M26">K12/J12*100</f>
        <v>100</v>
      </c>
      <c r="N12" s="139">
        <v>158</v>
      </c>
      <c r="O12" s="139">
        <v>67</v>
      </c>
      <c r="P12" s="139">
        <v>67</v>
      </c>
      <c r="Q12" s="460">
        <f>O12/N12*100</f>
        <v>42.405063291139236</v>
      </c>
      <c r="R12" s="171">
        <f>P12/O12*100</f>
        <v>100</v>
      </c>
      <c r="S12" s="375"/>
    </row>
    <row r="13" spans="1:19" ht="15" customHeight="1">
      <c r="A13" s="138">
        <f>6!A13</f>
        <v>3</v>
      </c>
      <c r="B13" s="138" t="str">
        <f>6!B13</f>
        <v>Sukamara</v>
      </c>
      <c r="C13" s="139">
        <f>'48'!C13</f>
        <v>11725</v>
      </c>
      <c r="D13" s="31">
        <v>901</v>
      </c>
      <c r="E13" s="31">
        <v>394</v>
      </c>
      <c r="F13" s="31">
        <v>394</v>
      </c>
      <c r="G13" s="188">
        <f t="shared" si="0"/>
        <v>43.7291897891232</v>
      </c>
      <c r="H13" s="610">
        <f t="shared" si="1"/>
        <v>100</v>
      </c>
      <c r="I13" s="31">
        <v>901</v>
      </c>
      <c r="J13" s="31">
        <v>203</v>
      </c>
      <c r="K13" s="31">
        <v>117</v>
      </c>
      <c r="L13" s="188">
        <f>J13/I13*100</f>
        <v>22.530521642619313</v>
      </c>
      <c r="M13" s="188">
        <f t="shared" si="3"/>
        <v>57.635467980295566</v>
      </c>
      <c r="N13" s="31">
        <v>901</v>
      </c>
      <c r="O13" s="31">
        <v>162</v>
      </c>
      <c r="P13" s="31">
        <v>162</v>
      </c>
      <c r="Q13" s="460">
        <f aca="true" t="shared" si="4" ref="Q13:Q24">O13/N13*100</f>
        <v>17.980022197558267</v>
      </c>
      <c r="R13" s="171">
        <f>P13/O13*100</f>
        <v>100</v>
      </c>
      <c r="S13" s="375"/>
    </row>
    <row r="14" spans="1:19" ht="15" customHeight="1">
      <c r="A14" s="138">
        <f>6!A14</f>
        <v>4</v>
      </c>
      <c r="B14" s="138" t="str">
        <f>6!B14</f>
        <v>Kotawaringin Timur</v>
      </c>
      <c r="C14" s="139">
        <f>'48'!C14</f>
        <v>80104</v>
      </c>
      <c r="D14" s="31">
        <v>7333</v>
      </c>
      <c r="E14" s="31">
        <v>2668</v>
      </c>
      <c r="F14" s="31">
        <v>2668</v>
      </c>
      <c r="G14" s="188">
        <f t="shared" si="0"/>
        <v>36.38347197599891</v>
      </c>
      <c r="H14" s="610">
        <f t="shared" si="1"/>
        <v>100</v>
      </c>
      <c r="I14" s="31">
        <v>7333</v>
      </c>
      <c r="J14" s="31">
        <v>2906</v>
      </c>
      <c r="K14" s="31">
        <v>2906</v>
      </c>
      <c r="L14" s="188">
        <f t="shared" si="2"/>
        <v>39.6290740488204</v>
      </c>
      <c r="M14" s="610">
        <f t="shared" si="3"/>
        <v>100</v>
      </c>
      <c r="N14" s="31">
        <v>7333</v>
      </c>
      <c r="O14" s="31">
        <v>1148</v>
      </c>
      <c r="P14" s="31">
        <v>1148</v>
      </c>
      <c r="Q14" s="460">
        <f t="shared" si="4"/>
        <v>15.65525705713896</v>
      </c>
      <c r="R14" s="171">
        <f>P14/O14*100</f>
        <v>100</v>
      </c>
      <c r="S14" s="375"/>
    </row>
    <row r="15" spans="1:19" ht="15" customHeight="1">
      <c r="A15" s="138">
        <f>6!A15</f>
        <v>5</v>
      </c>
      <c r="B15" s="138" t="str">
        <f>6!B15</f>
        <v>Seruyan</v>
      </c>
      <c r="C15" s="139">
        <f>'48'!C15</f>
        <v>39079</v>
      </c>
      <c r="D15" s="31">
        <v>2560</v>
      </c>
      <c r="E15" s="31">
        <v>1610</v>
      </c>
      <c r="F15" s="139">
        <v>0</v>
      </c>
      <c r="G15" s="188">
        <f t="shared" si="0"/>
        <v>62.890625</v>
      </c>
      <c r="H15" s="62">
        <f t="shared" si="1"/>
        <v>0</v>
      </c>
      <c r="I15" s="31">
        <v>2560</v>
      </c>
      <c r="J15" s="31">
        <v>0</v>
      </c>
      <c r="K15" s="139">
        <v>0</v>
      </c>
      <c r="L15" s="62">
        <f t="shared" si="2"/>
        <v>0</v>
      </c>
      <c r="M15" s="62">
        <v>0</v>
      </c>
      <c r="N15" s="31">
        <v>2560</v>
      </c>
      <c r="O15" s="31">
        <v>933</v>
      </c>
      <c r="P15" s="139">
        <v>0</v>
      </c>
      <c r="Q15" s="460">
        <f t="shared" si="4"/>
        <v>36.4453125</v>
      </c>
      <c r="R15" s="31">
        <v>0</v>
      </c>
      <c r="S15" s="375"/>
    </row>
    <row r="16" spans="1:19" ht="15" customHeight="1">
      <c r="A16" s="138">
        <f>6!A16</f>
        <v>6</v>
      </c>
      <c r="B16" s="138" t="str">
        <f>6!B16</f>
        <v>Katingan</v>
      </c>
      <c r="C16" s="139">
        <f>'48'!C16</f>
        <v>34463</v>
      </c>
      <c r="D16" s="31">
        <v>8157</v>
      </c>
      <c r="E16" s="31">
        <v>3061</v>
      </c>
      <c r="F16" s="31">
        <v>0</v>
      </c>
      <c r="G16" s="188">
        <f t="shared" si="0"/>
        <v>37.52605124433002</v>
      </c>
      <c r="H16" s="62">
        <f t="shared" si="1"/>
        <v>0</v>
      </c>
      <c r="I16" s="31">
        <v>8157</v>
      </c>
      <c r="J16" s="31">
        <v>868</v>
      </c>
      <c r="K16" s="31">
        <v>0</v>
      </c>
      <c r="L16" s="188">
        <f t="shared" si="2"/>
        <v>10.641167095745985</v>
      </c>
      <c r="M16" s="188">
        <f t="shared" si="3"/>
        <v>0</v>
      </c>
      <c r="N16" s="31">
        <v>8157</v>
      </c>
      <c r="O16" s="31">
        <v>1334</v>
      </c>
      <c r="P16" s="31">
        <v>0</v>
      </c>
      <c r="Q16" s="460">
        <f t="shared" si="4"/>
        <v>16.35405173470639</v>
      </c>
      <c r="R16" s="31">
        <v>0</v>
      </c>
      <c r="S16" s="375"/>
    </row>
    <row r="17" spans="1:19" ht="15" customHeight="1">
      <c r="A17" s="138">
        <f>6!A17</f>
        <v>7</v>
      </c>
      <c r="B17" s="138" t="str">
        <f>6!B17</f>
        <v>Kapuas</v>
      </c>
      <c r="C17" s="139">
        <f>'48'!C17</f>
        <v>90491</v>
      </c>
      <c r="D17" s="31">
        <v>20647</v>
      </c>
      <c r="E17" s="31">
        <v>12091</v>
      </c>
      <c r="F17" s="31">
        <v>2495</v>
      </c>
      <c r="G17" s="188">
        <f t="shared" si="0"/>
        <v>58.56056569961737</v>
      </c>
      <c r="H17" s="188">
        <f t="shared" si="1"/>
        <v>20.635183194111324</v>
      </c>
      <c r="I17" s="31">
        <v>20647</v>
      </c>
      <c r="J17" s="31">
        <v>411</v>
      </c>
      <c r="K17" s="31">
        <v>343</v>
      </c>
      <c r="L17" s="188">
        <f t="shared" si="2"/>
        <v>1.9906039618346492</v>
      </c>
      <c r="M17" s="188">
        <f t="shared" si="3"/>
        <v>83.45498783454988</v>
      </c>
      <c r="N17" s="31">
        <v>20647</v>
      </c>
      <c r="O17" s="31">
        <v>160</v>
      </c>
      <c r="P17" s="31">
        <v>95</v>
      </c>
      <c r="Q17" s="460">
        <f t="shared" si="4"/>
        <v>0.7749309827093525</v>
      </c>
      <c r="R17" s="460">
        <f>P17/O17*100</f>
        <v>59.375</v>
      </c>
      <c r="S17" s="375"/>
    </row>
    <row r="18" spans="1:19" ht="15" customHeight="1">
      <c r="A18" s="138">
        <f>6!A18</f>
        <v>8</v>
      </c>
      <c r="B18" s="138" t="str">
        <f>6!B18</f>
        <v>Pulang Pisau</v>
      </c>
      <c r="C18" s="139">
        <f>'48'!C18</f>
        <v>30171</v>
      </c>
      <c r="D18" s="31">
        <v>6017</v>
      </c>
      <c r="E18" s="31">
        <v>5787</v>
      </c>
      <c r="F18" s="31">
        <v>870</v>
      </c>
      <c r="G18" s="188">
        <f t="shared" si="0"/>
        <v>96.17749709157387</v>
      </c>
      <c r="H18" s="188">
        <f t="shared" si="1"/>
        <v>15.033696215655782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75"/>
    </row>
    <row r="19" spans="1:19" ht="15" customHeight="1">
      <c r="A19" s="138">
        <f>6!A19</f>
        <v>9</v>
      </c>
      <c r="B19" s="138" t="str">
        <f>6!B19</f>
        <v>Gunung Mas</v>
      </c>
      <c r="C19" s="139">
        <f>'48'!C19</f>
        <v>32344</v>
      </c>
      <c r="D19" s="31">
        <v>4088</v>
      </c>
      <c r="E19" s="139">
        <v>3618</v>
      </c>
      <c r="F19" s="139">
        <v>7221</v>
      </c>
      <c r="G19" s="188">
        <f t="shared" si="0"/>
        <v>88.50293542074364</v>
      </c>
      <c r="H19" s="460">
        <f>F19/E19*100</f>
        <v>199.5854063018242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75"/>
    </row>
    <row r="20" spans="1:19" ht="15" customHeight="1">
      <c r="A20" s="138">
        <f>6!A20</f>
        <v>10</v>
      </c>
      <c r="B20" s="138" t="str">
        <f>6!B20</f>
        <v>Barito Selatan</v>
      </c>
      <c r="C20" s="139">
        <f>'48'!C20</f>
        <v>32846</v>
      </c>
      <c r="D20" s="31">
        <v>8490</v>
      </c>
      <c r="E20" s="31">
        <v>3764</v>
      </c>
      <c r="F20" s="31">
        <v>3764</v>
      </c>
      <c r="G20" s="188">
        <f t="shared" si="0"/>
        <v>44.33451118963486</v>
      </c>
      <c r="H20" s="610">
        <f t="shared" si="1"/>
        <v>100</v>
      </c>
      <c r="I20" s="31">
        <v>3121</v>
      </c>
      <c r="J20" s="31">
        <v>1470</v>
      </c>
      <c r="K20" s="31">
        <v>1470</v>
      </c>
      <c r="L20" s="188">
        <f t="shared" si="2"/>
        <v>47.10028836911246</v>
      </c>
      <c r="M20" s="610">
        <f t="shared" si="3"/>
        <v>100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75"/>
    </row>
    <row r="21" spans="1:19" ht="15" customHeight="1">
      <c r="A21" s="138">
        <f>6!A21</f>
        <v>11</v>
      </c>
      <c r="B21" s="138" t="str">
        <f>6!B21</f>
        <v>Barito Timur</v>
      </c>
      <c r="C21" s="139">
        <f>'48'!C21</f>
        <v>27624</v>
      </c>
      <c r="D21" s="31">
        <v>8444</v>
      </c>
      <c r="E21" s="31">
        <v>8166</v>
      </c>
      <c r="F21" s="31">
        <v>0</v>
      </c>
      <c r="G21" s="188">
        <f t="shared" si="0"/>
        <v>96.70772145902416</v>
      </c>
      <c r="H21" s="62">
        <f t="shared" si="1"/>
        <v>0</v>
      </c>
      <c r="I21" s="31">
        <v>5072</v>
      </c>
      <c r="J21" s="31">
        <v>3606</v>
      </c>
      <c r="K21" s="31">
        <v>0</v>
      </c>
      <c r="L21" s="188">
        <f t="shared" si="2"/>
        <v>71.09621451104101</v>
      </c>
      <c r="M21" s="62">
        <f t="shared" si="3"/>
        <v>0</v>
      </c>
      <c r="N21" s="31">
        <v>4626</v>
      </c>
      <c r="O21" s="31">
        <v>1751</v>
      </c>
      <c r="P21" s="31">
        <v>0</v>
      </c>
      <c r="Q21" s="460">
        <f t="shared" si="4"/>
        <v>37.85127539991353</v>
      </c>
      <c r="R21" s="31">
        <v>0</v>
      </c>
      <c r="S21" s="375"/>
    </row>
    <row r="22" spans="1:19" ht="15" customHeight="1">
      <c r="A22" s="138">
        <f>6!A22</f>
        <v>12</v>
      </c>
      <c r="B22" s="138" t="str">
        <f>6!B22</f>
        <v>Barito Utara</v>
      </c>
      <c r="C22" s="139">
        <f>'48'!C22</f>
        <v>32548</v>
      </c>
      <c r="D22" s="31">
        <v>16663</v>
      </c>
      <c r="E22" s="31">
        <v>9186</v>
      </c>
      <c r="F22" s="607" t="s">
        <v>694</v>
      </c>
      <c r="G22" s="188">
        <f t="shared" si="0"/>
        <v>55.12812818820141</v>
      </c>
      <c r="H22" s="611" t="s">
        <v>694</v>
      </c>
      <c r="I22" s="31">
        <v>15045</v>
      </c>
      <c r="J22" s="31">
        <v>1585</v>
      </c>
      <c r="K22" s="607" t="s">
        <v>694</v>
      </c>
      <c r="L22" s="188">
        <f t="shared" si="2"/>
        <v>10.535061482220007</v>
      </c>
      <c r="M22" s="607" t="s">
        <v>694</v>
      </c>
      <c r="N22" s="31">
        <v>16795</v>
      </c>
      <c r="O22" s="31">
        <v>2776</v>
      </c>
      <c r="P22" s="607" t="s">
        <v>694</v>
      </c>
      <c r="Q22" s="460">
        <f t="shared" si="4"/>
        <v>16.52872878832986</v>
      </c>
      <c r="R22" s="607" t="s">
        <v>694</v>
      </c>
      <c r="S22" s="375"/>
    </row>
    <row r="23" spans="1:19" ht="15" customHeight="1">
      <c r="A23" s="138">
        <f>6!A23</f>
        <v>13</v>
      </c>
      <c r="B23" s="138" t="str">
        <f>6!B23</f>
        <v>Murung Raya</v>
      </c>
      <c r="C23" s="139">
        <f>'48'!C23</f>
        <v>23258</v>
      </c>
      <c r="D23" s="31">
        <v>14470</v>
      </c>
      <c r="E23" s="31">
        <v>10820</v>
      </c>
      <c r="F23" s="31">
        <v>7835</v>
      </c>
      <c r="G23" s="188">
        <f t="shared" si="0"/>
        <v>74.77539737387698</v>
      </c>
      <c r="H23" s="188">
        <f t="shared" si="1"/>
        <v>72.41219963031423</v>
      </c>
      <c r="I23" s="31">
        <v>11360</v>
      </c>
      <c r="J23" s="31">
        <v>7971</v>
      </c>
      <c r="K23" s="31">
        <v>5553</v>
      </c>
      <c r="L23" s="188">
        <f t="shared" si="2"/>
        <v>70.16725352112675</v>
      </c>
      <c r="M23" s="188">
        <f t="shared" si="3"/>
        <v>69.66503575461046</v>
      </c>
      <c r="N23" s="31">
        <v>9260</v>
      </c>
      <c r="O23" s="31">
        <v>6122</v>
      </c>
      <c r="P23" s="31">
        <v>4652</v>
      </c>
      <c r="Q23" s="460">
        <f t="shared" si="4"/>
        <v>66.11231101511879</v>
      </c>
      <c r="R23" s="460">
        <f>P23/O23*100</f>
        <v>75.98823913753675</v>
      </c>
      <c r="S23" s="375"/>
    </row>
    <row r="24" spans="1:19" ht="15" customHeight="1">
      <c r="A24" s="138">
        <f>6!A24</f>
        <v>14</v>
      </c>
      <c r="B24" s="138" t="str">
        <f>6!B24</f>
        <v>Palangka Raya</v>
      </c>
      <c r="C24" s="139">
        <f>'48'!C24</f>
        <v>53443</v>
      </c>
      <c r="D24" s="31">
        <v>3533</v>
      </c>
      <c r="E24" s="31">
        <v>3500</v>
      </c>
      <c r="F24" s="31">
        <v>2779</v>
      </c>
      <c r="G24" s="188">
        <f t="shared" si="0"/>
        <v>99.06594961788848</v>
      </c>
      <c r="H24" s="188">
        <f t="shared" si="1"/>
        <v>79.4</v>
      </c>
      <c r="I24" s="31">
        <v>3533</v>
      </c>
      <c r="J24" s="139">
        <v>2683</v>
      </c>
      <c r="K24" s="139">
        <v>2723</v>
      </c>
      <c r="L24" s="460">
        <f t="shared" si="2"/>
        <v>75.94112652136994</v>
      </c>
      <c r="M24" s="460">
        <f t="shared" si="3"/>
        <v>101.49086843086097</v>
      </c>
      <c r="N24" s="31">
        <v>3533</v>
      </c>
      <c r="O24" s="31">
        <v>3033</v>
      </c>
      <c r="P24" s="31">
        <v>1369</v>
      </c>
      <c r="Q24" s="460">
        <f t="shared" si="4"/>
        <v>85.8477214831588</v>
      </c>
      <c r="R24" s="460">
        <f>P24/O24*100</f>
        <v>45.13682822288164</v>
      </c>
      <c r="S24" s="375"/>
    </row>
    <row r="25" spans="1:19" ht="15" customHeight="1">
      <c r="A25" s="158"/>
      <c r="B25" s="158"/>
      <c r="C25" s="158"/>
      <c r="D25" s="36"/>
      <c r="E25" s="36"/>
      <c r="F25" s="36"/>
      <c r="G25" s="35"/>
      <c r="H25" s="30"/>
      <c r="I25" s="36"/>
      <c r="J25" s="36"/>
      <c r="K25" s="36"/>
      <c r="L25" s="272"/>
      <c r="M25" s="188"/>
      <c r="N25" s="36"/>
      <c r="O25" s="36"/>
      <c r="P25" s="31"/>
      <c r="Q25" s="460"/>
      <c r="R25" s="188"/>
      <c r="S25" s="375"/>
    </row>
    <row r="26" spans="1:19" ht="19.5" customHeight="1" thickBot="1">
      <c r="A26" s="165" t="s">
        <v>859</v>
      </c>
      <c r="B26" s="70"/>
      <c r="C26" s="273">
        <f>SUM(C11:C25)</f>
        <v>570364</v>
      </c>
      <c r="D26" s="41">
        <f>SUM(D11:D25)</f>
        <v>128459</v>
      </c>
      <c r="E26" s="41">
        <f>SUM(E11:E25)</f>
        <v>87699</v>
      </c>
      <c r="F26" s="41">
        <f>SUM(F11:F25)</f>
        <v>50043</v>
      </c>
      <c r="G26" s="39">
        <f t="shared" si="0"/>
        <v>68.27003168326081</v>
      </c>
      <c r="H26" s="191">
        <f t="shared" si="1"/>
        <v>57.06222419867958</v>
      </c>
      <c r="I26" s="41">
        <f>SUM(I11:I25)</f>
        <v>104655</v>
      </c>
      <c r="J26" s="41">
        <f>SUM(J11:J25)</f>
        <v>36434</v>
      </c>
      <c r="K26" s="41">
        <f>SUM(K11:K25)</f>
        <v>25956</v>
      </c>
      <c r="L26" s="274">
        <f t="shared" si="2"/>
        <v>34.81343461850843</v>
      </c>
      <c r="M26" s="191">
        <f t="shared" si="3"/>
        <v>71.24114837788879</v>
      </c>
      <c r="N26" s="41">
        <f>SUM(N11:N25)</f>
        <v>100832</v>
      </c>
      <c r="O26" s="41">
        <f>SUM(O11:O25)</f>
        <v>29239</v>
      </c>
      <c r="P26" s="41">
        <f>SUM(P11:P25)</f>
        <v>16594</v>
      </c>
      <c r="Q26" s="191">
        <f>O26/N26*100</f>
        <v>28.997738813075213</v>
      </c>
      <c r="R26" s="191">
        <f>O26/N26*100</f>
        <v>28.997738813075213</v>
      </c>
      <c r="S26" s="375"/>
    </row>
    <row r="27" spans="1:19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ht="15">
      <c r="A28" s="14" t="s">
        <v>243</v>
      </c>
    </row>
    <row r="29" spans="1:19" ht="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520"/>
      <c r="S29" s="73"/>
    </row>
    <row r="30" spans="1:19" ht="15.75">
      <c r="A30" s="73"/>
      <c r="B30" s="519"/>
      <c r="C30" s="73"/>
      <c r="D30" s="73"/>
      <c r="E30" s="73"/>
      <c r="F30" s="73"/>
      <c r="G30" s="264"/>
      <c r="H30" s="264"/>
      <c r="I30" s="73"/>
      <c r="J30" s="264"/>
      <c r="K30" s="264"/>
      <c r="L30" s="73"/>
      <c r="M30" s="73"/>
      <c r="N30" s="73"/>
      <c r="O30" s="73"/>
      <c r="P30" s="73"/>
      <c r="Q30" s="73"/>
      <c r="R30" s="73"/>
      <c r="S30" s="73"/>
    </row>
    <row r="31" spans="1:17" ht="15">
      <c r="A31" s="18"/>
      <c r="B31" s="18"/>
      <c r="C31" s="18"/>
      <c r="D31" s="18"/>
      <c r="E31" s="18"/>
      <c r="F31" s="18"/>
      <c r="G31" s="18"/>
      <c r="H31" s="18"/>
      <c r="J31" s="18"/>
      <c r="K31" s="18"/>
      <c r="L31" s="18"/>
      <c r="M31" s="18"/>
      <c r="N31" s="18"/>
      <c r="O31" s="18"/>
      <c r="P31" s="18"/>
      <c r="Q31" s="18"/>
    </row>
  </sheetData>
  <mergeCells count="9">
    <mergeCell ref="A3:R3"/>
    <mergeCell ref="A4:R4"/>
    <mergeCell ref="A5:R5"/>
    <mergeCell ref="I8:M8"/>
    <mergeCell ref="N8:R8"/>
    <mergeCell ref="A8:A9"/>
    <mergeCell ref="C8:C9"/>
    <mergeCell ref="B8:B9"/>
    <mergeCell ref="D8:H8"/>
  </mergeCells>
  <printOptions horizontalCentered="1"/>
  <pageMargins left="1.6929133858267718" right="0.9055118110236221" top="1.141732283464567" bottom="0.9055118110236221" header="0" footer="1.1811023622047245"/>
  <pageSetup fitToHeight="1" fitToWidth="1" horizontalDpi="300" verticalDpi="300" orientation="landscape" paperSize="9" scale="54" r:id="rId1"/>
  <headerFooter alignWithMargins="0">
    <oddFooter>&amp;C106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X32"/>
  <sheetViews>
    <sheetView zoomScale="75" zoomScaleNormal="75" workbookViewId="0" topLeftCell="A1">
      <selection activeCell="I29" sqref="I29"/>
    </sheetView>
  </sheetViews>
  <sheetFormatPr defaultColWidth="9.140625" defaultRowHeight="12.75"/>
  <cols>
    <col min="1" max="1" width="5.7109375" style="14" customWidth="1"/>
    <col min="2" max="2" width="26.8515625" style="14" customWidth="1"/>
    <col min="3" max="5" width="7.7109375" style="14" customWidth="1"/>
    <col min="6" max="6" width="9.421875" style="14" customWidth="1"/>
    <col min="7" max="13" width="7.7109375" style="14" customWidth="1"/>
    <col min="14" max="14" width="8.7109375" style="14" customWidth="1"/>
    <col min="15" max="22" width="7.7109375" style="14" customWidth="1"/>
    <col min="23" max="16384" width="9.140625" style="14" customWidth="1"/>
  </cols>
  <sheetData>
    <row r="1" ht="15">
      <c r="A1" s="14" t="s">
        <v>390</v>
      </c>
    </row>
    <row r="3" spans="1:22" ht="15">
      <c r="A3" s="641" t="s">
        <v>892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</row>
    <row r="4" spans="1:22" ht="15">
      <c r="A4" s="641" t="str">
        <f>1!A5</f>
        <v>PROVINSI KALIMANTAN TENGAH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</row>
    <row r="5" spans="1:22" ht="15">
      <c r="A5" s="641" t="str">
        <f>1!A6</f>
        <v>TAHUN 2009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1"/>
      <c r="U5" s="641"/>
      <c r="V5" s="641"/>
    </row>
    <row r="6" spans="1:22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18" ht="15.7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22" ht="25.5" customHeight="1">
      <c r="A8" s="634" t="s">
        <v>2</v>
      </c>
      <c r="B8" s="637" t="s">
        <v>844</v>
      </c>
      <c r="C8" s="580" t="s">
        <v>44</v>
      </c>
      <c r="D8" s="581"/>
      <c r="E8" s="581"/>
      <c r="F8" s="556"/>
      <c r="G8" s="708" t="s">
        <v>46</v>
      </c>
      <c r="H8" s="709"/>
      <c r="I8" s="709"/>
      <c r="J8" s="710"/>
      <c r="K8" s="714" t="s">
        <v>45</v>
      </c>
      <c r="L8" s="713"/>
      <c r="M8" s="713"/>
      <c r="N8" s="678"/>
      <c r="O8" s="714" t="s">
        <v>50</v>
      </c>
      <c r="P8" s="713"/>
      <c r="Q8" s="713"/>
      <c r="R8" s="678"/>
      <c r="S8" s="676" t="s">
        <v>230</v>
      </c>
      <c r="T8" s="677"/>
      <c r="U8" s="713"/>
      <c r="V8" s="678"/>
    </row>
    <row r="9" spans="1:22" ht="86.25" customHeight="1">
      <c r="A9" s="636"/>
      <c r="B9" s="639"/>
      <c r="C9" s="275" t="s">
        <v>259</v>
      </c>
      <c r="D9" s="275" t="s">
        <v>47</v>
      </c>
      <c r="E9" s="276" t="s">
        <v>48</v>
      </c>
      <c r="F9" s="275" t="s">
        <v>49</v>
      </c>
      <c r="G9" s="275" t="s">
        <v>259</v>
      </c>
      <c r="H9" s="275" t="s">
        <v>47</v>
      </c>
      <c r="I9" s="276" t="s">
        <v>48</v>
      </c>
      <c r="J9" s="275" t="s">
        <v>49</v>
      </c>
      <c r="K9" s="275" t="s">
        <v>259</v>
      </c>
      <c r="L9" s="277" t="s">
        <v>47</v>
      </c>
      <c r="M9" s="278" t="s">
        <v>48</v>
      </c>
      <c r="N9" s="277" t="s">
        <v>49</v>
      </c>
      <c r="O9" s="275" t="s">
        <v>259</v>
      </c>
      <c r="P9" s="277" t="s">
        <v>47</v>
      </c>
      <c r="Q9" s="278" t="s">
        <v>48</v>
      </c>
      <c r="R9" s="277" t="s">
        <v>49</v>
      </c>
      <c r="S9" s="275" t="s">
        <v>259</v>
      </c>
      <c r="T9" s="277" t="s">
        <v>47</v>
      </c>
      <c r="U9" s="278" t="s">
        <v>48</v>
      </c>
      <c r="V9" s="277" t="s">
        <v>49</v>
      </c>
    </row>
    <row r="10" spans="1:22" ht="15" customHeight="1">
      <c r="A10" s="11">
        <v>1</v>
      </c>
      <c r="B10" s="11">
        <v>2</v>
      </c>
      <c r="C10" s="11">
        <v>4</v>
      </c>
      <c r="D10" s="11">
        <v>5</v>
      </c>
      <c r="E10" s="11">
        <v>6</v>
      </c>
      <c r="F10" s="11">
        <v>7</v>
      </c>
      <c r="G10" s="11">
        <v>8</v>
      </c>
      <c r="H10" s="11">
        <v>9</v>
      </c>
      <c r="I10" s="11">
        <v>10</v>
      </c>
      <c r="J10" s="11">
        <v>11</v>
      </c>
      <c r="K10" s="11">
        <v>12</v>
      </c>
      <c r="L10" s="11">
        <v>13</v>
      </c>
      <c r="M10" s="11">
        <v>14</v>
      </c>
      <c r="N10" s="11">
        <v>15</v>
      </c>
      <c r="O10" s="11">
        <v>16</v>
      </c>
      <c r="P10" s="11">
        <v>17</v>
      </c>
      <c r="Q10" s="11">
        <v>18</v>
      </c>
      <c r="R10" s="11">
        <v>20</v>
      </c>
      <c r="S10" s="11">
        <v>21</v>
      </c>
      <c r="T10" s="11">
        <v>22</v>
      </c>
      <c r="U10" s="11">
        <v>23</v>
      </c>
      <c r="V10" s="11">
        <v>24</v>
      </c>
    </row>
    <row r="11" spans="1:22" ht="15" customHeight="1">
      <c r="A11" s="138">
        <f>6!A11</f>
        <v>1</v>
      </c>
      <c r="B11" s="30" t="str">
        <f>6!B11</f>
        <v>Kotawaringin Barat</v>
      </c>
      <c r="C11" s="279">
        <v>21</v>
      </c>
      <c r="D11" s="279">
        <v>21</v>
      </c>
      <c r="E11" s="279">
        <v>20</v>
      </c>
      <c r="F11" s="280">
        <f>E11/D11*100</f>
        <v>95.23809523809523</v>
      </c>
      <c r="G11" s="279">
        <v>271</v>
      </c>
      <c r="H11" s="279">
        <v>271</v>
      </c>
      <c r="I11" s="279">
        <v>198</v>
      </c>
      <c r="J11" s="281">
        <f>I11/H11*100</f>
        <v>73.06273062730627</v>
      </c>
      <c r="K11" s="279">
        <v>8</v>
      </c>
      <c r="L11" s="282">
        <v>8</v>
      </c>
      <c r="M11" s="282">
        <v>4</v>
      </c>
      <c r="N11" s="283">
        <f>M11/L11*100</f>
        <v>50</v>
      </c>
      <c r="O11" s="284">
        <v>0</v>
      </c>
      <c r="P11" s="284">
        <v>0</v>
      </c>
      <c r="Q11" s="284">
        <v>0</v>
      </c>
      <c r="R11" s="282">
        <v>0</v>
      </c>
      <c r="S11" s="285">
        <f>O11+K11+G11+C11</f>
        <v>300</v>
      </c>
      <c r="T11" s="285">
        <f>P11+L11+H11+D11</f>
        <v>300</v>
      </c>
      <c r="U11" s="285">
        <f>Q11+M11+I11+E11</f>
        <v>222</v>
      </c>
      <c r="V11" s="283">
        <f>U11/T11*100</f>
        <v>74</v>
      </c>
    </row>
    <row r="12" spans="1:22" ht="15" customHeight="1">
      <c r="A12" s="138">
        <f>6!A12</f>
        <v>2</v>
      </c>
      <c r="B12" s="30" t="str">
        <f>6!B12</f>
        <v>Lamandau</v>
      </c>
      <c r="C12" s="279">
        <v>0</v>
      </c>
      <c r="D12" s="279">
        <v>0</v>
      </c>
      <c r="E12" s="279">
        <v>0</v>
      </c>
      <c r="F12" s="279">
        <v>0</v>
      </c>
      <c r="G12" s="279">
        <v>92</v>
      </c>
      <c r="H12" s="279">
        <v>51</v>
      </c>
      <c r="I12" s="279">
        <v>24</v>
      </c>
      <c r="J12" s="286">
        <f aca="true" t="shared" si="0" ref="J12:J26">I12/H12*100</f>
        <v>47.05882352941176</v>
      </c>
      <c r="K12" s="279">
        <v>4</v>
      </c>
      <c r="L12" s="282">
        <v>3</v>
      </c>
      <c r="M12" s="282">
        <v>2</v>
      </c>
      <c r="N12" s="287">
        <f aca="true" t="shared" si="1" ref="N12:N26">M12/L12*100</f>
        <v>66.66666666666666</v>
      </c>
      <c r="O12" s="284">
        <v>28</v>
      </c>
      <c r="P12" s="284">
        <v>24</v>
      </c>
      <c r="Q12" s="284">
        <v>8</v>
      </c>
      <c r="R12" s="288">
        <f aca="true" t="shared" si="2" ref="R12:R26">Q12/P12*100</f>
        <v>33.33333333333333</v>
      </c>
      <c r="S12" s="285">
        <f aca="true" t="shared" si="3" ref="S12:S24">O12+K12+G12+C12</f>
        <v>124</v>
      </c>
      <c r="T12" s="285">
        <f aca="true" t="shared" si="4" ref="T12:T24">P12+L12+H12+D12</f>
        <v>78</v>
      </c>
      <c r="U12" s="285">
        <f aca="true" t="shared" si="5" ref="U12:U24">Q12+M12+I12+E12</f>
        <v>34</v>
      </c>
      <c r="V12" s="12">
        <f>U12/T12*100</f>
        <v>43.58974358974359</v>
      </c>
    </row>
    <row r="13" spans="1:22" ht="15" customHeight="1">
      <c r="A13" s="138">
        <f>6!A13</f>
        <v>3</v>
      </c>
      <c r="B13" s="30" t="str">
        <f>6!B13</f>
        <v>Sukamara</v>
      </c>
      <c r="C13" s="279">
        <v>11</v>
      </c>
      <c r="D13" s="279">
        <v>7</v>
      </c>
      <c r="E13" s="279">
        <v>0</v>
      </c>
      <c r="F13" s="280">
        <f aca="true" t="shared" si="6" ref="F13:F26">E13/D13*100</f>
        <v>0</v>
      </c>
      <c r="G13" s="279">
        <v>62</v>
      </c>
      <c r="H13" s="279">
        <v>22</v>
      </c>
      <c r="I13" s="279">
        <v>13</v>
      </c>
      <c r="J13" s="286">
        <f t="shared" si="0"/>
        <v>59.09090909090909</v>
      </c>
      <c r="K13" s="279">
        <v>3</v>
      </c>
      <c r="L13" s="282">
        <v>0</v>
      </c>
      <c r="M13" s="282">
        <v>0</v>
      </c>
      <c r="N13" s="282">
        <v>0</v>
      </c>
      <c r="O13" s="284">
        <v>319</v>
      </c>
      <c r="P13" s="284">
        <v>62</v>
      </c>
      <c r="Q13" s="284">
        <v>28</v>
      </c>
      <c r="R13" s="288">
        <f t="shared" si="2"/>
        <v>45.16129032258064</v>
      </c>
      <c r="S13" s="285">
        <f t="shared" si="3"/>
        <v>395</v>
      </c>
      <c r="T13" s="285">
        <f t="shared" si="4"/>
        <v>91</v>
      </c>
      <c r="U13" s="285">
        <f t="shared" si="5"/>
        <v>41</v>
      </c>
      <c r="V13" s="267">
        <f aca="true" t="shared" si="7" ref="V13:V26">U13/T13*100</f>
        <v>45.05494505494506</v>
      </c>
    </row>
    <row r="14" spans="1:22" ht="15" customHeight="1">
      <c r="A14" s="138">
        <f>6!A14</f>
        <v>4</v>
      </c>
      <c r="B14" s="30" t="str">
        <f>6!B14</f>
        <v>Kotawaringin Timur</v>
      </c>
      <c r="C14" s="279">
        <v>40</v>
      </c>
      <c r="D14" s="279">
        <v>40</v>
      </c>
      <c r="E14" s="279">
        <v>20</v>
      </c>
      <c r="F14" s="280">
        <f t="shared" si="6"/>
        <v>50</v>
      </c>
      <c r="G14" s="279">
        <v>18</v>
      </c>
      <c r="H14" s="279">
        <v>14</v>
      </c>
      <c r="I14" s="279">
        <v>13</v>
      </c>
      <c r="J14" s="286">
        <f t="shared" si="0"/>
        <v>92.85714285714286</v>
      </c>
      <c r="K14" s="279">
        <v>20</v>
      </c>
      <c r="L14" s="282">
        <v>16</v>
      </c>
      <c r="M14" s="282">
        <v>3</v>
      </c>
      <c r="N14" s="287">
        <f t="shared" si="1"/>
        <v>18.75</v>
      </c>
      <c r="O14" s="284">
        <v>429</v>
      </c>
      <c r="P14" s="284">
        <v>156</v>
      </c>
      <c r="Q14" s="284">
        <v>69</v>
      </c>
      <c r="R14" s="288">
        <f t="shared" si="2"/>
        <v>44.230769230769226</v>
      </c>
      <c r="S14" s="285">
        <f t="shared" si="3"/>
        <v>507</v>
      </c>
      <c r="T14" s="285">
        <f t="shared" si="4"/>
        <v>226</v>
      </c>
      <c r="U14" s="285">
        <f t="shared" si="5"/>
        <v>105</v>
      </c>
      <c r="V14" s="12">
        <f t="shared" si="7"/>
        <v>46.46017699115044</v>
      </c>
    </row>
    <row r="15" spans="1:22" ht="15" customHeight="1">
      <c r="A15" s="138">
        <f>6!A15</f>
        <v>5</v>
      </c>
      <c r="B15" s="30" t="str">
        <f>6!B15</f>
        <v>Seruyan</v>
      </c>
      <c r="C15" s="279">
        <v>23</v>
      </c>
      <c r="D15" s="279">
        <v>20</v>
      </c>
      <c r="E15" s="279">
        <v>8</v>
      </c>
      <c r="F15" s="280">
        <f t="shared" si="6"/>
        <v>40</v>
      </c>
      <c r="G15" s="279">
        <v>183</v>
      </c>
      <c r="H15" s="279">
        <v>80</v>
      </c>
      <c r="I15" s="279">
        <v>23</v>
      </c>
      <c r="J15" s="286">
        <f t="shared" si="0"/>
        <v>28.749999999999996</v>
      </c>
      <c r="K15" s="279">
        <v>10</v>
      </c>
      <c r="L15" s="282">
        <v>9</v>
      </c>
      <c r="M15" s="282">
        <v>0</v>
      </c>
      <c r="N15" s="287">
        <f t="shared" si="1"/>
        <v>0</v>
      </c>
      <c r="O15" s="284">
        <v>37</v>
      </c>
      <c r="P15" s="284">
        <v>35</v>
      </c>
      <c r="Q15" s="284">
        <v>5</v>
      </c>
      <c r="R15" s="288">
        <f t="shared" si="2"/>
        <v>14.285714285714285</v>
      </c>
      <c r="S15" s="285">
        <f t="shared" si="3"/>
        <v>253</v>
      </c>
      <c r="T15" s="285">
        <f t="shared" si="4"/>
        <v>144</v>
      </c>
      <c r="U15" s="285">
        <f t="shared" si="5"/>
        <v>36</v>
      </c>
      <c r="V15" s="267">
        <f t="shared" si="7"/>
        <v>25</v>
      </c>
    </row>
    <row r="16" spans="1:22" ht="15" customHeight="1">
      <c r="A16" s="138">
        <f>6!A16</f>
        <v>6</v>
      </c>
      <c r="B16" s="30" t="str">
        <f>6!B16</f>
        <v>Katingan</v>
      </c>
      <c r="C16" s="279">
        <v>19</v>
      </c>
      <c r="D16" s="279">
        <v>19</v>
      </c>
      <c r="E16" s="279">
        <v>13</v>
      </c>
      <c r="F16" s="280">
        <f t="shared" si="6"/>
        <v>68.42105263157895</v>
      </c>
      <c r="G16" s="279">
        <v>25</v>
      </c>
      <c r="H16" s="279">
        <v>25</v>
      </c>
      <c r="I16" s="279">
        <v>12</v>
      </c>
      <c r="J16" s="286">
        <f t="shared" si="0"/>
        <v>48</v>
      </c>
      <c r="K16" s="279">
        <v>7</v>
      </c>
      <c r="L16" s="282">
        <v>7</v>
      </c>
      <c r="M16" s="282">
        <v>0</v>
      </c>
      <c r="N16" s="287">
        <f t="shared" si="1"/>
        <v>0</v>
      </c>
      <c r="O16" s="284">
        <v>41</v>
      </c>
      <c r="P16" s="284">
        <v>41</v>
      </c>
      <c r="Q16" s="284">
        <v>30</v>
      </c>
      <c r="R16" s="288">
        <f t="shared" si="2"/>
        <v>73.17073170731707</v>
      </c>
      <c r="S16" s="285">
        <f t="shared" si="3"/>
        <v>92</v>
      </c>
      <c r="T16" s="285">
        <f t="shared" si="4"/>
        <v>92</v>
      </c>
      <c r="U16" s="285">
        <f t="shared" si="5"/>
        <v>55</v>
      </c>
      <c r="V16" s="267">
        <f t="shared" si="7"/>
        <v>59.78260869565217</v>
      </c>
    </row>
    <row r="17" spans="1:22" ht="15" customHeight="1">
      <c r="A17" s="138">
        <f>6!A17</f>
        <v>7</v>
      </c>
      <c r="B17" s="30" t="str">
        <f>6!B17</f>
        <v>Kapuas</v>
      </c>
      <c r="C17" s="279">
        <v>20</v>
      </c>
      <c r="D17" s="279">
        <v>4</v>
      </c>
      <c r="E17" s="279">
        <v>4</v>
      </c>
      <c r="F17" s="280">
        <f t="shared" si="6"/>
        <v>100</v>
      </c>
      <c r="G17" s="279">
        <v>619</v>
      </c>
      <c r="H17" s="279">
        <v>49</v>
      </c>
      <c r="I17" s="279">
        <v>1</v>
      </c>
      <c r="J17" s="286">
        <f t="shared" si="0"/>
        <v>2.0408163265306123</v>
      </c>
      <c r="K17" s="279">
        <v>69</v>
      </c>
      <c r="L17" s="282">
        <v>1</v>
      </c>
      <c r="M17" s="282">
        <v>0</v>
      </c>
      <c r="N17" s="287">
        <f t="shared" si="1"/>
        <v>0</v>
      </c>
      <c r="O17" s="284">
        <v>146</v>
      </c>
      <c r="P17" s="284">
        <v>7</v>
      </c>
      <c r="Q17" s="284">
        <v>2</v>
      </c>
      <c r="R17" s="288">
        <f t="shared" si="2"/>
        <v>28.57142857142857</v>
      </c>
      <c r="S17" s="285">
        <v>854</v>
      </c>
      <c r="T17" s="285">
        <f t="shared" si="4"/>
        <v>61</v>
      </c>
      <c r="U17" s="285">
        <v>7</v>
      </c>
      <c r="V17" s="267">
        <f t="shared" si="7"/>
        <v>11.475409836065573</v>
      </c>
    </row>
    <row r="18" spans="1:22" ht="15" customHeight="1">
      <c r="A18" s="138">
        <f>6!A18</f>
        <v>8</v>
      </c>
      <c r="B18" s="30" t="str">
        <f>6!B18</f>
        <v>Pulang Pisau</v>
      </c>
      <c r="C18" s="279">
        <v>10</v>
      </c>
      <c r="D18" s="279">
        <v>8</v>
      </c>
      <c r="E18" s="279">
        <v>7</v>
      </c>
      <c r="F18" s="280">
        <f t="shared" si="6"/>
        <v>87.5</v>
      </c>
      <c r="G18" s="279">
        <v>39</v>
      </c>
      <c r="H18" s="279">
        <v>35</v>
      </c>
      <c r="I18" s="279">
        <v>32</v>
      </c>
      <c r="J18" s="286">
        <f t="shared" si="0"/>
        <v>91.42857142857143</v>
      </c>
      <c r="K18" s="279">
        <v>19</v>
      </c>
      <c r="L18" s="282">
        <v>19</v>
      </c>
      <c r="M18" s="282">
        <v>0</v>
      </c>
      <c r="N18" s="287">
        <f t="shared" si="1"/>
        <v>0</v>
      </c>
      <c r="O18" s="284">
        <v>0</v>
      </c>
      <c r="P18" s="284">
        <v>0</v>
      </c>
      <c r="Q18" s="284">
        <v>0</v>
      </c>
      <c r="R18" s="282">
        <v>0</v>
      </c>
      <c r="S18" s="285">
        <f t="shared" si="3"/>
        <v>68</v>
      </c>
      <c r="T18" s="285">
        <f t="shared" si="4"/>
        <v>62</v>
      </c>
      <c r="U18" s="285">
        <f t="shared" si="5"/>
        <v>39</v>
      </c>
      <c r="V18" s="267">
        <f t="shared" si="7"/>
        <v>62.903225806451616</v>
      </c>
    </row>
    <row r="19" spans="1:23" ht="15" customHeight="1">
      <c r="A19" s="138">
        <f>6!A19</f>
        <v>9</v>
      </c>
      <c r="B19" s="30" t="str">
        <f>6!B19</f>
        <v>Gunung Mas</v>
      </c>
      <c r="C19" s="282">
        <v>12</v>
      </c>
      <c r="D19" s="282">
        <v>9</v>
      </c>
      <c r="E19" s="279">
        <v>6</v>
      </c>
      <c r="F19" s="280">
        <f t="shared" si="6"/>
        <v>66.66666666666666</v>
      </c>
      <c r="G19" s="279">
        <v>4</v>
      </c>
      <c r="H19" s="279">
        <v>4</v>
      </c>
      <c r="I19" s="279">
        <v>2</v>
      </c>
      <c r="J19" s="286">
        <f t="shared" si="0"/>
        <v>50</v>
      </c>
      <c r="K19" s="279">
        <v>6</v>
      </c>
      <c r="L19" s="282">
        <v>0</v>
      </c>
      <c r="M19" s="282">
        <v>0</v>
      </c>
      <c r="N19" s="282">
        <v>0</v>
      </c>
      <c r="O19" s="284">
        <v>0</v>
      </c>
      <c r="P19" s="284">
        <v>0</v>
      </c>
      <c r="Q19" s="284">
        <v>0</v>
      </c>
      <c r="R19" s="282">
        <v>0</v>
      </c>
      <c r="S19" s="285">
        <f t="shared" si="3"/>
        <v>22</v>
      </c>
      <c r="T19" s="285">
        <f t="shared" si="4"/>
        <v>13</v>
      </c>
      <c r="U19" s="285">
        <f t="shared" si="5"/>
        <v>8</v>
      </c>
      <c r="V19" s="267">
        <f t="shared" si="7"/>
        <v>61.53846153846154</v>
      </c>
      <c r="W19" s="193"/>
    </row>
    <row r="20" spans="1:22" ht="15" customHeight="1">
      <c r="A20" s="138">
        <f>6!A20</f>
        <v>10</v>
      </c>
      <c r="B20" s="30" t="str">
        <f>6!B20</f>
        <v>Barito Selatan</v>
      </c>
      <c r="C20" s="279">
        <v>17</v>
      </c>
      <c r="D20" s="279">
        <v>17</v>
      </c>
      <c r="E20" s="279">
        <v>14</v>
      </c>
      <c r="F20" s="280">
        <f t="shared" si="6"/>
        <v>82.35294117647058</v>
      </c>
      <c r="G20" s="279">
        <v>35</v>
      </c>
      <c r="H20" s="279">
        <v>33</v>
      </c>
      <c r="I20" s="279">
        <v>31</v>
      </c>
      <c r="J20" s="286">
        <f t="shared" si="0"/>
        <v>93.93939393939394</v>
      </c>
      <c r="K20" s="279">
        <v>26</v>
      </c>
      <c r="L20" s="282">
        <v>21</v>
      </c>
      <c r="M20" s="282">
        <v>1</v>
      </c>
      <c r="N20" s="287">
        <f t="shared" si="1"/>
        <v>4.761904761904762</v>
      </c>
      <c r="O20" s="284">
        <v>297</v>
      </c>
      <c r="P20" s="284">
        <v>247</v>
      </c>
      <c r="Q20" s="284">
        <v>113</v>
      </c>
      <c r="R20" s="288">
        <f t="shared" si="2"/>
        <v>45.74898785425101</v>
      </c>
      <c r="S20" s="285">
        <f t="shared" si="3"/>
        <v>375</v>
      </c>
      <c r="T20" s="285">
        <f t="shared" si="4"/>
        <v>318</v>
      </c>
      <c r="U20" s="285">
        <f t="shared" si="5"/>
        <v>159</v>
      </c>
      <c r="V20" s="12">
        <f t="shared" si="7"/>
        <v>50</v>
      </c>
    </row>
    <row r="21" spans="1:22" ht="15" customHeight="1">
      <c r="A21" s="138">
        <f>6!A21</f>
        <v>11</v>
      </c>
      <c r="B21" s="30" t="str">
        <f>6!B21</f>
        <v>Barito Timur</v>
      </c>
      <c r="C21" s="279">
        <v>12</v>
      </c>
      <c r="D21" s="279">
        <v>6</v>
      </c>
      <c r="E21" s="279">
        <v>3</v>
      </c>
      <c r="F21" s="280">
        <f t="shared" si="6"/>
        <v>50</v>
      </c>
      <c r="G21" s="279">
        <v>24</v>
      </c>
      <c r="H21" s="279">
        <v>68</v>
      </c>
      <c r="I21" s="279">
        <v>20</v>
      </c>
      <c r="J21" s="286">
        <f t="shared" si="0"/>
        <v>29.411764705882355</v>
      </c>
      <c r="K21" s="279">
        <v>42</v>
      </c>
      <c r="L21" s="282">
        <v>39</v>
      </c>
      <c r="M21" s="282">
        <v>7</v>
      </c>
      <c r="N21" s="287">
        <f t="shared" si="1"/>
        <v>17.94871794871795</v>
      </c>
      <c r="O21" s="284">
        <v>519</v>
      </c>
      <c r="P21" s="284">
        <v>302</v>
      </c>
      <c r="Q21" s="284">
        <v>206</v>
      </c>
      <c r="R21" s="288">
        <f t="shared" si="2"/>
        <v>68.21192052980133</v>
      </c>
      <c r="S21" s="285">
        <f t="shared" si="3"/>
        <v>597</v>
      </c>
      <c r="T21" s="285">
        <f t="shared" si="4"/>
        <v>415</v>
      </c>
      <c r="U21" s="285">
        <f t="shared" si="5"/>
        <v>236</v>
      </c>
      <c r="V21" s="267">
        <f t="shared" si="7"/>
        <v>56.867469879518076</v>
      </c>
    </row>
    <row r="22" spans="1:22" ht="15" customHeight="1">
      <c r="A22" s="138">
        <f>6!A22</f>
        <v>12</v>
      </c>
      <c r="B22" s="30" t="str">
        <f>6!B22</f>
        <v>Barito Utara</v>
      </c>
      <c r="C22" s="279">
        <v>46</v>
      </c>
      <c r="D22" s="279">
        <v>42</v>
      </c>
      <c r="E22" s="279">
        <v>18</v>
      </c>
      <c r="F22" s="280">
        <f t="shared" si="6"/>
        <v>42.857142857142854</v>
      </c>
      <c r="G22" s="279">
        <v>214</v>
      </c>
      <c r="H22" s="279">
        <v>165</v>
      </c>
      <c r="I22" s="279">
        <v>54</v>
      </c>
      <c r="J22" s="286">
        <f t="shared" si="0"/>
        <v>32.72727272727273</v>
      </c>
      <c r="K22" s="279">
        <v>62</v>
      </c>
      <c r="L22" s="282">
        <v>45</v>
      </c>
      <c r="M22" s="282">
        <v>7</v>
      </c>
      <c r="N22" s="287">
        <f t="shared" si="1"/>
        <v>15.555555555555555</v>
      </c>
      <c r="O22" s="284">
        <v>416</v>
      </c>
      <c r="P22" s="284">
        <v>324</v>
      </c>
      <c r="Q22" s="284">
        <v>147</v>
      </c>
      <c r="R22" s="288">
        <f t="shared" si="2"/>
        <v>45.370370370370374</v>
      </c>
      <c r="S22" s="285">
        <f t="shared" si="3"/>
        <v>738</v>
      </c>
      <c r="T22" s="285">
        <v>606</v>
      </c>
      <c r="U22" s="285">
        <v>228</v>
      </c>
      <c r="V22" s="267">
        <f t="shared" si="7"/>
        <v>37.62376237623762</v>
      </c>
    </row>
    <row r="23" spans="1:22" ht="15" customHeight="1">
      <c r="A23" s="138">
        <f>6!A23</f>
        <v>13</v>
      </c>
      <c r="B23" s="30" t="str">
        <f>6!B23</f>
        <v>Murung Raya</v>
      </c>
      <c r="C23" s="279">
        <v>19</v>
      </c>
      <c r="D23" s="279">
        <v>6</v>
      </c>
      <c r="E23" s="279">
        <v>4</v>
      </c>
      <c r="F23" s="280">
        <f t="shared" si="6"/>
        <v>66.66666666666666</v>
      </c>
      <c r="G23" s="279">
        <v>55</v>
      </c>
      <c r="H23" s="279">
        <v>39</v>
      </c>
      <c r="I23" s="279">
        <v>32</v>
      </c>
      <c r="J23" s="286">
        <f t="shared" si="0"/>
        <v>82.05128205128204</v>
      </c>
      <c r="K23" s="279">
        <v>10</v>
      </c>
      <c r="L23" s="282">
        <v>5</v>
      </c>
      <c r="M23" s="282">
        <v>3</v>
      </c>
      <c r="N23" s="287">
        <f t="shared" si="1"/>
        <v>60</v>
      </c>
      <c r="O23" s="284">
        <v>167</v>
      </c>
      <c r="P23" s="284">
        <v>105</v>
      </c>
      <c r="Q23" s="284">
        <v>72</v>
      </c>
      <c r="R23" s="288">
        <f t="shared" si="2"/>
        <v>68.57142857142857</v>
      </c>
      <c r="S23" s="285">
        <v>251</v>
      </c>
      <c r="T23" s="285">
        <v>155</v>
      </c>
      <c r="U23" s="285">
        <f t="shared" si="5"/>
        <v>111</v>
      </c>
      <c r="V23" s="267">
        <f t="shared" si="7"/>
        <v>71.61290322580646</v>
      </c>
    </row>
    <row r="24" spans="1:22" ht="15" customHeight="1">
      <c r="A24" s="138">
        <f>6!A24</f>
        <v>14</v>
      </c>
      <c r="B24" s="30" t="str">
        <f>6!B24</f>
        <v>Palangka Raya</v>
      </c>
      <c r="C24" s="279">
        <v>25</v>
      </c>
      <c r="D24" s="279">
        <v>15</v>
      </c>
      <c r="E24" s="279">
        <v>15</v>
      </c>
      <c r="F24" s="280">
        <f t="shared" si="6"/>
        <v>100</v>
      </c>
      <c r="G24" s="279">
        <v>94</v>
      </c>
      <c r="H24" s="279">
        <v>46</v>
      </c>
      <c r="I24" s="279">
        <v>33</v>
      </c>
      <c r="J24" s="286">
        <f t="shared" si="0"/>
        <v>71.73913043478261</v>
      </c>
      <c r="K24" s="279">
        <v>7</v>
      </c>
      <c r="L24" s="282">
        <v>3</v>
      </c>
      <c r="M24" s="282">
        <v>3</v>
      </c>
      <c r="N24" s="287">
        <f t="shared" si="1"/>
        <v>100</v>
      </c>
      <c r="O24" s="284">
        <v>783</v>
      </c>
      <c r="P24" s="284">
        <v>286</v>
      </c>
      <c r="Q24" s="284">
        <v>206</v>
      </c>
      <c r="R24" s="288">
        <f t="shared" si="2"/>
        <v>72.02797202797203</v>
      </c>
      <c r="S24" s="285">
        <f t="shared" si="3"/>
        <v>909</v>
      </c>
      <c r="T24" s="285">
        <f t="shared" si="4"/>
        <v>350</v>
      </c>
      <c r="U24" s="285">
        <f t="shared" si="5"/>
        <v>257</v>
      </c>
      <c r="V24" s="267">
        <f t="shared" si="7"/>
        <v>73.42857142857143</v>
      </c>
    </row>
    <row r="25" spans="1:22" ht="15" customHeight="1">
      <c r="A25" s="35"/>
      <c r="B25" s="35"/>
      <c r="C25" s="289"/>
      <c r="D25" s="289"/>
      <c r="E25" s="289"/>
      <c r="F25" s="290"/>
      <c r="G25" s="289"/>
      <c r="H25" s="289"/>
      <c r="I25" s="289"/>
      <c r="J25" s="290"/>
      <c r="K25" s="289"/>
      <c r="L25" s="291"/>
      <c r="M25" s="291"/>
      <c r="N25" s="292"/>
      <c r="O25" s="293"/>
      <c r="P25" s="293"/>
      <c r="Q25" s="293"/>
      <c r="R25" s="294"/>
      <c r="S25" s="285"/>
      <c r="T25" s="285"/>
      <c r="U25" s="285"/>
      <c r="V25" s="12"/>
    </row>
    <row r="26" spans="1:22" ht="19.5" customHeight="1" thickBot="1">
      <c r="A26" s="165" t="s">
        <v>859</v>
      </c>
      <c r="B26" s="121"/>
      <c r="C26" s="295">
        <f>SUM(C11:C25)</f>
        <v>275</v>
      </c>
      <c r="D26" s="295">
        <f>SUM(D11:D25)</f>
        <v>214</v>
      </c>
      <c r="E26" s="295">
        <f>SUM(E11:E25)</f>
        <v>132</v>
      </c>
      <c r="F26" s="296">
        <f t="shared" si="6"/>
        <v>61.6822429906542</v>
      </c>
      <c r="G26" s="295">
        <f>SUM(G11:G25)</f>
        <v>1735</v>
      </c>
      <c r="H26" s="295">
        <f>SUM(H11:H25)</f>
        <v>902</v>
      </c>
      <c r="I26" s="295">
        <f>SUM(I11:I25)</f>
        <v>488</v>
      </c>
      <c r="J26" s="296">
        <f t="shared" si="0"/>
        <v>54.1019955654102</v>
      </c>
      <c r="K26" s="295">
        <f>SUM(K11:K25)</f>
        <v>293</v>
      </c>
      <c r="L26" s="295">
        <f>SUM(L11:L25)</f>
        <v>176</v>
      </c>
      <c r="M26" s="295">
        <f>SUM(M11:M25)</f>
        <v>30</v>
      </c>
      <c r="N26" s="297">
        <f t="shared" si="1"/>
        <v>17.045454545454543</v>
      </c>
      <c r="O26" s="298">
        <f>SUM(O11:O25)</f>
        <v>3182</v>
      </c>
      <c r="P26" s="298">
        <f>SUM(P11:P25)</f>
        <v>1589</v>
      </c>
      <c r="Q26" s="298">
        <f>SUM(Q11:Q25)</f>
        <v>886</v>
      </c>
      <c r="R26" s="299">
        <f t="shared" si="2"/>
        <v>55.75833857772183</v>
      </c>
      <c r="S26" s="298">
        <f>SUM(S11:S25)</f>
        <v>5485</v>
      </c>
      <c r="T26" s="298">
        <f>SUM(T11:T25)</f>
        <v>2911</v>
      </c>
      <c r="U26" s="298">
        <f>SUM(U11:U25)</f>
        <v>1538</v>
      </c>
      <c r="V26" s="300">
        <f t="shared" si="7"/>
        <v>52.834077636551015</v>
      </c>
    </row>
    <row r="27" spans="1:22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ht="15">
      <c r="A28" s="14" t="s">
        <v>243</v>
      </c>
    </row>
    <row r="29" spans="1:24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511"/>
      <c r="W29" s="18"/>
      <c r="X29" s="18"/>
    </row>
    <row r="30" spans="1:24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</sheetData>
  <mergeCells count="10">
    <mergeCell ref="A4:V4"/>
    <mergeCell ref="A5:V5"/>
    <mergeCell ref="S8:V8"/>
    <mergeCell ref="A3:V3"/>
    <mergeCell ref="A8:A9"/>
    <mergeCell ref="C8:F8"/>
    <mergeCell ref="K8:N8"/>
    <mergeCell ref="O8:R8"/>
    <mergeCell ref="G8:J8"/>
    <mergeCell ref="B8:B9"/>
  </mergeCells>
  <printOptions horizontalCentered="1"/>
  <pageMargins left="1.6929133858267718" right="0.9055118110236221" top="1.141732283464567" bottom="0.9055118110236221" header="0" footer="1.1811023622047245"/>
  <pageSetup fitToHeight="1" fitToWidth="1" horizontalDpi="300" verticalDpi="300" orientation="landscape" paperSize="9" scale="62" r:id="rId1"/>
  <headerFooter alignWithMargins="0">
    <oddFooter>&amp;C107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T28"/>
  <sheetViews>
    <sheetView zoomScale="75" zoomScaleNormal="75" workbookViewId="0" topLeftCell="A1">
      <selection activeCell="I33" sqref="I33"/>
    </sheetView>
  </sheetViews>
  <sheetFormatPr defaultColWidth="9.140625" defaultRowHeight="12.75"/>
  <cols>
    <col min="1" max="1" width="5.7109375" style="301" customWidth="1"/>
    <col min="2" max="2" width="21.7109375" style="301" customWidth="1"/>
    <col min="3" max="17" width="8.7109375" style="301" customWidth="1"/>
    <col min="18" max="18" width="9.8515625" style="301" customWidth="1"/>
    <col min="19" max="19" width="9.7109375" style="301" customWidth="1"/>
    <col min="20" max="20" width="8.7109375" style="301" customWidth="1"/>
    <col min="21" max="16384" width="9.140625" style="301" customWidth="1"/>
  </cols>
  <sheetData>
    <row r="1" spans="1:2" ht="21" customHeight="1">
      <c r="A1" s="721" t="s">
        <v>399</v>
      </c>
      <c r="B1" s="720"/>
    </row>
    <row r="2" spans="1:20" ht="15" customHeight="1">
      <c r="A2" s="724" t="s">
        <v>332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</row>
    <row r="3" spans="1:20" ht="15" customHeight="1">
      <c r="A3" s="718" t="str">
        <f>1!A5</f>
        <v>PROVINSI KALIMANTAN TENGAH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</row>
    <row r="4" spans="1:20" ht="15" customHeight="1">
      <c r="A4" s="718" t="str">
        <f>1!A6</f>
        <v>TAHUN 2009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</row>
    <row r="5" spans="1:20" ht="15" customHeight="1">
      <c r="A5" s="595"/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</row>
    <row r="6" spans="1:20" ht="15.75" thickBot="1">
      <c r="A6" s="302"/>
      <c r="B6" s="303"/>
      <c r="C6" s="302"/>
      <c r="D6" s="302"/>
      <c r="E6" s="302"/>
      <c r="F6" s="302"/>
      <c r="G6" s="302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</row>
    <row r="7" spans="1:20" ht="24.75" customHeight="1">
      <c r="A7" s="722" t="s">
        <v>2</v>
      </c>
      <c r="B7" s="722" t="s">
        <v>844</v>
      </c>
      <c r="C7" s="719" t="s">
        <v>200</v>
      </c>
      <c r="D7" s="716"/>
      <c r="E7" s="717"/>
      <c r="F7" s="719" t="s">
        <v>333</v>
      </c>
      <c r="G7" s="716"/>
      <c r="H7" s="717"/>
      <c r="I7" s="719" t="s">
        <v>334</v>
      </c>
      <c r="J7" s="716"/>
      <c r="K7" s="717"/>
      <c r="L7" s="715" t="s">
        <v>335</v>
      </c>
      <c r="M7" s="716"/>
      <c r="N7" s="717"/>
      <c r="O7" s="715" t="s">
        <v>336</v>
      </c>
      <c r="P7" s="716"/>
      <c r="Q7" s="717"/>
      <c r="R7" s="715" t="s">
        <v>21</v>
      </c>
      <c r="S7" s="716"/>
      <c r="T7" s="717"/>
    </row>
    <row r="8" spans="1:20" ht="24.75" customHeight="1">
      <c r="A8" s="723"/>
      <c r="B8" s="723"/>
      <c r="C8" s="314" t="s">
        <v>21</v>
      </c>
      <c r="D8" s="315" t="s">
        <v>337</v>
      </c>
      <c r="E8" s="316" t="s">
        <v>27</v>
      </c>
      <c r="F8" s="314" t="s">
        <v>21</v>
      </c>
      <c r="G8" s="315" t="s">
        <v>337</v>
      </c>
      <c r="H8" s="316" t="s">
        <v>27</v>
      </c>
      <c r="I8" s="314" t="s">
        <v>21</v>
      </c>
      <c r="J8" s="315" t="s">
        <v>337</v>
      </c>
      <c r="K8" s="316" t="s">
        <v>27</v>
      </c>
      <c r="L8" s="314" t="s">
        <v>21</v>
      </c>
      <c r="M8" s="315" t="s">
        <v>337</v>
      </c>
      <c r="N8" s="316" t="s">
        <v>27</v>
      </c>
      <c r="O8" s="314" t="s">
        <v>21</v>
      </c>
      <c r="P8" s="315" t="s">
        <v>337</v>
      </c>
      <c r="Q8" s="316" t="s">
        <v>27</v>
      </c>
      <c r="R8" s="314" t="s">
        <v>21</v>
      </c>
      <c r="S8" s="315" t="s">
        <v>337</v>
      </c>
      <c r="T8" s="316" t="s">
        <v>27</v>
      </c>
    </row>
    <row r="9" spans="1:20" ht="15">
      <c r="A9" s="304">
        <v>1</v>
      </c>
      <c r="B9" s="305">
        <v>2</v>
      </c>
      <c r="C9" s="304">
        <v>4</v>
      </c>
      <c r="D9" s="305">
        <v>5</v>
      </c>
      <c r="E9" s="305">
        <v>6</v>
      </c>
      <c r="F9" s="304">
        <v>7</v>
      </c>
      <c r="G9" s="305">
        <v>8</v>
      </c>
      <c r="H9" s="304">
        <v>9</v>
      </c>
      <c r="I9" s="304">
        <v>10</v>
      </c>
      <c r="J9" s="305">
        <v>11</v>
      </c>
      <c r="K9" s="304">
        <v>12</v>
      </c>
      <c r="L9" s="304">
        <v>13</v>
      </c>
      <c r="M9" s="304">
        <v>14</v>
      </c>
      <c r="N9" s="305">
        <v>15</v>
      </c>
      <c r="O9" s="304">
        <v>16</v>
      </c>
      <c r="P9" s="304">
        <v>17</v>
      </c>
      <c r="Q9" s="305">
        <v>18</v>
      </c>
      <c r="R9" s="304">
        <v>19</v>
      </c>
      <c r="S9" s="304">
        <v>20</v>
      </c>
      <c r="T9" s="304">
        <v>21</v>
      </c>
    </row>
    <row r="10" spans="1:20" ht="15" customHeight="1">
      <c r="A10" s="521">
        <f>6!A11</f>
        <v>1</v>
      </c>
      <c r="B10" s="521" t="str">
        <f>6!B11</f>
        <v>Kotawaringin Barat</v>
      </c>
      <c r="C10" s="307">
        <v>98</v>
      </c>
      <c r="D10" s="307">
        <v>98</v>
      </c>
      <c r="E10" s="306">
        <f>D10/C10*100</f>
        <v>100</v>
      </c>
      <c r="F10" s="307">
        <v>20</v>
      </c>
      <c r="G10" s="307">
        <v>20</v>
      </c>
      <c r="H10" s="306">
        <f>G10/F10*100</f>
        <v>100</v>
      </c>
      <c r="I10" s="307">
        <v>198</v>
      </c>
      <c r="J10" s="307">
        <v>198</v>
      </c>
      <c r="K10" s="306">
        <f>J10/I10*100</f>
        <v>100</v>
      </c>
      <c r="L10" s="307">
        <v>69</v>
      </c>
      <c r="M10" s="307">
        <v>69</v>
      </c>
      <c r="N10" s="306">
        <f>M10/L10*100</f>
        <v>100</v>
      </c>
      <c r="O10" s="307">
        <v>0</v>
      </c>
      <c r="P10" s="307">
        <v>0</v>
      </c>
      <c r="Q10" s="307">
        <v>0</v>
      </c>
      <c r="R10" s="481">
        <f>O10+L10+I10+F10+C10</f>
        <v>385</v>
      </c>
      <c r="S10" s="482">
        <f>P10+M10+J10+G10+D10</f>
        <v>385</v>
      </c>
      <c r="T10" s="481">
        <f>S10/R10*100</f>
        <v>100</v>
      </c>
    </row>
    <row r="11" spans="1:20" ht="15" customHeight="1">
      <c r="A11" s="521">
        <f>6!A12</f>
        <v>2</v>
      </c>
      <c r="B11" s="521" t="str">
        <f>6!B12</f>
        <v>Lamandau</v>
      </c>
      <c r="C11" s="307">
        <v>0</v>
      </c>
      <c r="D11" s="307">
        <v>0</v>
      </c>
      <c r="E11" s="307">
        <v>0</v>
      </c>
      <c r="F11" s="307">
        <v>0</v>
      </c>
      <c r="G11" s="307">
        <v>0</v>
      </c>
      <c r="H11" s="307">
        <v>0</v>
      </c>
      <c r="I11" s="307">
        <v>0</v>
      </c>
      <c r="J11" s="307">
        <v>0</v>
      </c>
      <c r="K11" s="307">
        <v>0</v>
      </c>
      <c r="L11" s="307">
        <v>0</v>
      </c>
      <c r="M11" s="307">
        <v>0</v>
      </c>
      <c r="N11" s="307">
        <v>0</v>
      </c>
      <c r="O11" s="307">
        <v>0</v>
      </c>
      <c r="P11" s="307">
        <v>0</v>
      </c>
      <c r="Q11" s="307">
        <v>0</v>
      </c>
      <c r="R11" s="481">
        <f aca="true" t="shared" si="0" ref="R11:R23">O11+L11+I11+F11+C11</f>
        <v>0</v>
      </c>
      <c r="S11" s="481">
        <f aca="true" t="shared" si="1" ref="S11:T25">P11+M11+J11+G11+D11</f>
        <v>0</v>
      </c>
      <c r="T11" s="481">
        <f t="shared" si="1"/>
        <v>0</v>
      </c>
    </row>
    <row r="12" spans="1:20" ht="15" customHeight="1">
      <c r="A12" s="521">
        <f>6!A13</f>
        <v>3</v>
      </c>
      <c r="B12" s="521" t="str">
        <f>6!B13</f>
        <v>Sukamara</v>
      </c>
      <c r="C12" s="307">
        <v>22</v>
      </c>
      <c r="D12" s="307">
        <v>22</v>
      </c>
      <c r="E12" s="306">
        <f aca="true" t="shared" si="2" ref="E12:E25">D12/C12*100</f>
        <v>100</v>
      </c>
      <c r="F12" s="307">
        <v>43</v>
      </c>
      <c r="G12" s="307">
        <v>43</v>
      </c>
      <c r="H12" s="306">
        <f aca="true" t="shared" si="3" ref="H12:H25">G12/F12*100</f>
        <v>100</v>
      </c>
      <c r="I12" s="307">
        <v>66</v>
      </c>
      <c r="J12" s="307">
        <v>66</v>
      </c>
      <c r="K12" s="306">
        <f aca="true" t="shared" si="4" ref="K12:K25">J12/I12*100</f>
        <v>100</v>
      </c>
      <c r="L12" s="307">
        <v>74</v>
      </c>
      <c r="M12" s="307">
        <v>74</v>
      </c>
      <c r="N12" s="306">
        <f aca="true" t="shared" si="5" ref="N12:N25">M12/L12*100</f>
        <v>100</v>
      </c>
      <c r="O12" s="307">
        <v>13</v>
      </c>
      <c r="P12" s="307">
        <v>13</v>
      </c>
      <c r="Q12" s="306">
        <f aca="true" t="shared" si="6" ref="Q12:Q25">P12/O12*100</f>
        <v>100</v>
      </c>
      <c r="R12" s="481">
        <f t="shared" si="0"/>
        <v>218</v>
      </c>
      <c r="S12" s="481">
        <f t="shared" si="1"/>
        <v>218</v>
      </c>
      <c r="T12" s="481">
        <f aca="true" t="shared" si="7" ref="T12:T25">S12/R12*100</f>
        <v>100</v>
      </c>
    </row>
    <row r="13" spans="1:20" ht="15" customHeight="1">
      <c r="A13" s="521">
        <f>6!A14</f>
        <v>4</v>
      </c>
      <c r="B13" s="521" t="str">
        <f>6!B14</f>
        <v>Kotawaringin Timur</v>
      </c>
      <c r="C13" s="307">
        <v>139</v>
      </c>
      <c r="D13" s="307">
        <v>115</v>
      </c>
      <c r="E13" s="306">
        <f t="shared" si="2"/>
        <v>82.73381294964028</v>
      </c>
      <c r="F13" s="307">
        <v>414</v>
      </c>
      <c r="G13" s="307">
        <v>107</v>
      </c>
      <c r="H13" s="306">
        <f t="shared" si="3"/>
        <v>25.845410628019323</v>
      </c>
      <c r="I13" s="496">
        <v>0</v>
      </c>
      <c r="J13" s="496">
        <v>0</v>
      </c>
      <c r="K13" s="307">
        <v>0</v>
      </c>
      <c r="L13" s="307">
        <v>126</v>
      </c>
      <c r="M13" s="307">
        <v>43</v>
      </c>
      <c r="N13" s="306">
        <f t="shared" si="5"/>
        <v>34.12698412698413</v>
      </c>
      <c r="O13" s="307">
        <v>28</v>
      </c>
      <c r="P13" s="307">
        <v>9</v>
      </c>
      <c r="Q13" s="306">
        <f t="shared" si="6"/>
        <v>32.142857142857146</v>
      </c>
      <c r="R13" s="481">
        <v>683</v>
      </c>
      <c r="S13" s="481">
        <f t="shared" si="1"/>
        <v>274</v>
      </c>
      <c r="T13" s="308">
        <f t="shared" si="7"/>
        <v>40.11713030746706</v>
      </c>
    </row>
    <row r="14" spans="1:20" ht="15" customHeight="1">
      <c r="A14" s="521">
        <f>6!A15</f>
        <v>5</v>
      </c>
      <c r="B14" s="521" t="str">
        <f>6!B15</f>
        <v>Seruyan</v>
      </c>
      <c r="C14" s="307">
        <v>136</v>
      </c>
      <c r="D14" s="307">
        <v>136</v>
      </c>
      <c r="E14" s="306">
        <f t="shared" si="2"/>
        <v>100</v>
      </c>
      <c r="F14" s="307">
        <v>205</v>
      </c>
      <c r="G14" s="307">
        <v>106</v>
      </c>
      <c r="H14" s="306">
        <f t="shared" si="3"/>
        <v>51.707317073170735</v>
      </c>
      <c r="I14" s="307">
        <v>194</v>
      </c>
      <c r="J14" s="307">
        <v>30</v>
      </c>
      <c r="K14" s="306">
        <f t="shared" si="4"/>
        <v>15.463917525773196</v>
      </c>
      <c r="L14" s="307">
        <v>39</v>
      </c>
      <c r="M14" s="307">
        <v>0</v>
      </c>
      <c r="N14" s="306">
        <f t="shared" si="5"/>
        <v>0</v>
      </c>
      <c r="O14" s="307">
        <v>14</v>
      </c>
      <c r="P14" s="307">
        <v>10</v>
      </c>
      <c r="Q14" s="306">
        <f t="shared" si="6"/>
        <v>71.42857142857143</v>
      </c>
      <c r="R14" s="481">
        <f t="shared" si="0"/>
        <v>588</v>
      </c>
      <c r="S14" s="481">
        <f t="shared" si="1"/>
        <v>282</v>
      </c>
      <c r="T14" s="308">
        <f t="shared" si="7"/>
        <v>47.95918367346938</v>
      </c>
    </row>
    <row r="15" spans="1:20" ht="15" customHeight="1">
      <c r="A15" s="521">
        <f>6!A16</f>
        <v>6</v>
      </c>
      <c r="B15" s="521" t="str">
        <f>6!B16</f>
        <v>Katingan</v>
      </c>
      <c r="C15" s="307">
        <v>102</v>
      </c>
      <c r="D15" s="307">
        <v>70</v>
      </c>
      <c r="E15" s="306">
        <f t="shared" si="2"/>
        <v>68.62745098039215</v>
      </c>
      <c r="F15" s="307">
        <v>46</v>
      </c>
      <c r="G15" s="307">
        <v>33</v>
      </c>
      <c r="H15" s="306">
        <f t="shared" si="3"/>
        <v>71.73913043478261</v>
      </c>
      <c r="I15" s="307">
        <v>31</v>
      </c>
      <c r="J15" s="307">
        <v>23</v>
      </c>
      <c r="K15" s="306">
        <f t="shared" si="4"/>
        <v>74.19354838709677</v>
      </c>
      <c r="L15" s="307">
        <v>21</v>
      </c>
      <c r="M15" s="307">
        <v>12</v>
      </c>
      <c r="N15" s="306">
        <f t="shared" si="5"/>
        <v>57.14285714285714</v>
      </c>
      <c r="O15" s="307">
        <v>0</v>
      </c>
      <c r="P15" s="307">
        <v>0</v>
      </c>
      <c r="Q15" s="307">
        <v>0</v>
      </c>
      <c r="R15" s="481">
        <f t="shared" si="0"/>
        <v>200</v>
      </c>
      <c r="S15" s="481">
        <f t="shared" si="1"/>
        <v>138</v>
      </c>
      <c r="T15" s="308">
        <f t="shared" si="7"/>
        <v>69</v>
      </c>
    </row>
    <row r="16" spans="1:20" ht="15" customHeight="1">
      <c r="A16" s="521">
        <f>6!A17</f>
        <v>7</v>
      </c>
      <c r="B16" s="521" t="str">
        <f>6!B17</f>
        <v>Kapuas</v>
      </c>
      <c r="C16" s="307">
        <v>0</v>
      </c>
      <c r="D16" s="307">
        <v>0</v>
      </c>
      <c r="E16" s="307">
        <v>0</v>
      </c>
      <c r="F16" s="307">
        <v>791</v>
      </c>
      <c r="G16" s="307">
        <v>40</v>
      </c>
      <c r="H16" s="480">
        <f t="shared" si="3"/>
        <v>5.056890012642225</v>
      </c>
      <c r="I16" s="307">
        <v>658</v>
      </c>
      <c r="J16" s="307">
        <v>0</v>
      </c>
      <c r="K16" s="306">
        <f t="shared" si="4"/>
        <v>0</v>
      </c>
      <c r="L16" s="307">
        <v>369</v>
      </c>
      <c r="M16" s="307">
        <v>0</v>
      </c>
      <c r="N16" s="306">
        <f t="shared" si="5"/>
        <v>0</v>
      </c>
      <c r="O16" s="307">
        <v>0</v>
      </c>
      <c r="P16" s="307">
        <v>0</v>
      </c>
      <c r="Q16" s="307">
        <v>0</v>
      </c>
      <c r="R16" s="481">
        <f t="shared" si="0"/>
        <v>1818</v>
      </c>
      <c r="S16" s="481">
        <f t="shared" si="1"/>
        <v>40</v>
      </c>
      <c r="T16" s="308">
        <f>S16/R16*100</f>
        <v>2.2002200220022003</v>
      </c>
    </row>
    <row r="17" spans="1:20" ht="15" customHeight="1">
      <c r="A17" s="521">
        <f>6!A18</f>
        <v>8</v>
      </c>
      <c r="B17" s="521" t="str">
        <f>6!B18</f>
        <v>Pulang Pisau</v>
      </c>
      <c r="C17" s="307">
        <v>113</v>
      </c>
      <c r="D17" s="307">
        <v>113</v>
      </c>
      <c r="E17" s="306">
        <f t="shared" si="2"/>
        <v>100</v>
      </c>
      <c r="F17" s="307">
        <v>246</v>
      </c>
      <c r="G17" s="307">
        <v>56</v>
      </c>
      <c r="H17" s="306">
        <f t="shared" si="3"/>
        <v>22.76422764227642</v>
      </c>
      <c r="I17" s="307">
        <v>270</v>
      </c>
      <c r="J17" s="307">
        <v>20</v>
      </c>
      <c r="K17" s="480">
        <f t="shared" si="4"/>
        <v>7.4074074074074066</v>
      </c>
      <c r="L17" s="307">
        <v>49</v>
      </c>
      <c r="M17" s="307">
        <v>49</v>
      </c>
      <c r="N17" s="306">
        <f t="shared" si="5"/>
        <v>100</v>
      </c>
      <c r="O17" s="307">
        <v>4</v>
      </c>
      <c r="P17" s="307">
        <v>2</v>
      </c>
      <c r="Q17" s="306">
        <f t="shared" si="6"/>
        <v>50</v>
      </c>
      <c r="R17" s="481">
        <f t="shared" si="0"/>
        <v>682</v>
      </c>
      <c r="S17" s="481">
        <f t="shared" si="1"/>
        <v>240</v>
      </c>
      <c r="T17" s="308">
        <f t="shared" si="7"/>
        <v>35.19061583577713</v>
      </c>
    </row>
    <row r="18" spans="1:20" ht="15" customHeight="1">
      <c r="A18" s="521">
        <f>6!A19</f>
        <v>9</v>
      </c>
      <c r="B18" s="521" t="str">
        <f>6!B19</f>
        <v>Gunung Mas</v>
      </c>
      <c r="C18" s="307">
        <v>83</v>
      </c>
      <c r="D18" s="307">
        <v>82</v>
      </c>
      <c r="E18" s="306">
        <f t="shared" si="2"/>
        <v>98.79518072289156</v>
      </c>
      <c r="F18" s="307">
        <v>136</v>
      </c>
      <c r="G18" s="307">
        <v>104</v>
      </c>
      <c r="H18" s="306">
        <f t="shared" si="3"/>
        <v>76.47058823529412</v>
      </c>
      <c r="I18" s="307">
        <v>147</v>
      </c>
      <c r="J18" s="307">
        <v>0</v>
      </c>
      <c r="K18" s="306">
        <f t="shared" si="4"/>
        <v>0</v>
      </c>
      <c r="L18" s="307">
        <v>0</v>
      </c>
      <c r="M18" s="307">
        <v>0</v>
      </c>
      <c r="N18" s="307">
        <v>0</v>
      </c>
      <c r="O18" s="307">
        <v>0</v>
      </c>
      <c r="P18" s="307">
        <v>0</v>
      </c>
      <c r="Q18" s="307">
        <v>0</v>
      </c>
      <c r="R18" s="481">
        <v>365</v>
      </c>
      <c r="S18" s="481">
        <f t="shared" si="1"/>
        <v>186</v>
      </c>
      <c r="T18" s="308">
        <f t="shared" si="7"/>
        <v>50.95890410958904</v>
      </c>
    </row>
    <row r="19" spans="1:20" ht="15" customHeight="1">
      <c r="A19" s="521">
        <f>6!A20</f>
        <v>10</v>
      </c>
      <c r="B19" s="521" t="str">
        <f>6!B20</f>
        <v>Barito Selatan</v>
      </c>
      <c r="C19" s="307">
        <v>123</v>
      </c>
      <c r="D19" s="307">
        <v>74</v>
      </c>
      <c r="E19" s="306">
        <f t="shared" si="2"/>
        <v>60.16260162601627</v>
      </c>
      <c r="F19" s="307">
        <v>296</v>
      </c>
      <c r="G19" s="307">
        <v>218</v>
      </c>
      <c r="H19" s="306">
        <f t="shared" si="3"/>
        <v>73.64864864864865</v>
      </c>
      <c r="I19" s="307">
        <v>277</v>
      </c>
      <c r="J19" s="307">
        <v>222</v>
      </c>
      <c r="K19" s="306">
        <f t="shared" si="4"/>
        <v>80.14440433212997</v>
      </c>
      <c r="L19" s="307">
        <v>79</v>
      </c>
      <c r="M19" s="307">
        <v>0</v>
      </c>
      <c r="N19" s="306">
        <f t="shared" si="5"/>
        <v>0</v>
      </c>
      <c r="O19" s="307">
        <v>40</v>
      </c>
      <c r="P19" s="307">
        <v>0</v>
      </c>
      <c r="Q19" s="306">
        <f t="shared" si="6"/>
        <v>0</v>
      </c>
      <c r="R19" s="481">
        <v>766</v>
      </c>
      <c r="S19" s="481">
        <f t="shared" si="1"/>
        <v>514</v>
      </c>
      <c r="T19" s="308">
        <f t="shared" si="7"/>
        <v>67.1018276762402</v>
      </c>
    </row>
    <row r="20" spans="1:20" ht="15" customHeight="1">
      <c r="A20" s="521">
        <f>6!A21</f>
        <v>11</v>
      </c>
      <c r="B20" s="521" t="str">
        <f>6!B21</f>
        <v>Barito Timur</v>
      </c>
      <c r="C20" s="307">
        <v>113</v>
      </c>
      <c r="D20" s="307">
        <v>88</v>
      </c>
      <c r="E20" s="306">
        <f t="shared" si="2"/>
        <v>77.87610619469027</v>
      </c>
      <c r="F20" s="307">
        <v>219</v>
      </c>
      <c r="G20" s="307">
        <v>169</v>
      </c>
      <c r="H20" s="306">
        <f t="shared" si="3"/>
        <v>77.1689497716895</v>
      </c>
      <c r="I20" s="307">
        <v>307</v>
      </c>
      <c r="J20" s="307">
        <v>200</v>
      </c>
      <c r="K20" s="306">
        <f t="shared" si="4"/>
        <v>65.14657980456026</v>
      </c>
      <c r="L20" s="307">
        <v>155</v>
      </c>
      <c r="M20" s="307">
        <v>51</v>
      </c>
      <c r="N20" s="306">
        <f t="shared" si="5"/>
        <v>32.903225806451616</v>
      </c>
      <c r="O20" s="307">
        <v>2</v>
      </c>
      <c r="P20" s="307">
        <v>0</v>
      </c>
      <c r="Q20" s="306">
        <f t="shared" si="6"/>
        <v>0</v>
      </c>
      <c r="R20" s="481">
        <f>O20+L20+I20+F20+C20</f>
        <v>796</v>
      </c>
      <c r="S20" s="481">
        <f t="shared" si="1"/>
        <v>508</v>
      </c>
      <c r="T20" s="308">
        <f t="shared" si="7"/>
        <v>63.81909547738693</v>
      </c>
    </row>
    <row r="21" spans="1:20" ht="15" customHeight="1">
      <c r="A21" s="521">
        <f>6!A22</f>
        <v>12</v>
      </c>
      <c r="B21" s="521" t="str">
        <f>6!B22</f>
        <v>Barito Utara</v>
      </c>
      <c r="C21" s="307">
        <v>131</v>
      </c>
      <c r="D21" s="307">
        <v>72</v>
      </c>
      <c r="E21" s="306">
        <f t="shared" si="2"/>
        <v>54.961832061068705</v>
      </c>
      <c r="F21" s="307">
        <v>210</v>
      </c>
      <c r="G21" s="307">
        <v>105</v>
      </c>
      <c r="H21" s="306">
        <f t="shared" si="3"/>
        <v>50</v>
      </c>
      <c r="I21" s="307">
        <v>236</v>
      </c>
      <c r="J21" s="307">
        <v>144</v>
      </c>
      <c r="K21" s="306">
        <f t="shared" si="4"/>
        <v>61.016949152542374</v>
      </c>
      <c r="L21" s="307">
        <v>128</v>
      </c>
      <c r="M21" s="307">
        <v>76</v>
      </c>
      <c r="N21" s="306">
        <f t="shared" si="5"/>
        <v>59.375</v>
      </c>
      <c r="O21" s="307">
        <v>65</v>
      </c>
      <c r="P21" s="307">
        <v>34</v>
      </c>
      <c r="Q21" s="306">
        <f t="shared" si="6"/>
        <v>52.307692307692314</v>
      </c>
      <c r="R21" s="481">
        <f t="shared" si="0"/>
        <v>770</v>
      </c>
      <c r="S21" s="481">
        <f t="shared" si="1"/>
        <v>431</v>
      </c>
      <c r="T21" s="308">
        <f t="shared" si="7"/>
        <v>55.97402597402598</v>
      </c>
    </row>
    <row r="22" spans="1:20" ht="15" customHeight="1">
      <c r="A22" s="521">
        <f>6!A23</f>
        <v>13</v>
      </c>
      <c r="B22" s="521" t="str">
        <f>6!B23</f>
        <v>Murung Raya</v>
      </c>
      <c r="C22" s="307">
        <v>84</v>
      </c>
      <c r="D22" s="307">
        <v>83</v>
      </c>
      <c r="E22" s="306">
        <f t="shared" si="2"/>
        <v>98.80952380952381</v>
      </c>
      <c r="F22" s="307">
        <v>196</v>
      </c>
      <c r="G22" s="307">
        <v>159</v>
      </c>
      <c r="H22" s="306">
        <f t="shared" si="3"/>
        <v>81.12244897959184</v>
      </c>
      <c r="I22" s="307">
        <v>143</v>
      </c>
      <c r="J22" s="307">
        <v>104</v>
      </c>
      <c r="K22" s="306">
        <f t="shared" si="4"/>
        <v>72.72727272727273</v>
      </c>
      <c r="L22" s="307">
        <v>82</v>
      </c>
      <c r="M22" s="307">
        <v>70</v>
      </c>
      <c r="N22" s="306">
        <f t="shared" si="5"/>
        <v>85.36585365853658</v>
      </c>
      <c r="O22" s="307">
        <v>8</v>
      </c>
      <c r="P22" s="307">
        <v>8</v>
      </c>
      <c r="Q22" s="306">
        <f t="shared" si="6"/>
        <v>100</v>
      </c>
      <c r="R22" s="501">
        <f>O22+L22+I22+F22+C22</f>
        <v>513</v>
      </c>
      <c r="S22" s="481">
        <f t="shared" si="1"/>
        <v>424</v>
      </c>
      <c r="T22" s="308">
        <f t="shared" si="7"/>
        <v>82.65107212475633</v>
      </c>
    </row>
    <row r="23" spans="1:20" ht="15" customHeight="1">
      <c r="A23" s="521">
        <f>6!A24</f>
        <v>14</v>
      </c>
      <c r="B23" s="521" t="str">
        <f>6!B24</f>
        <v>Palangka Raya</v>
      </c>
      <c r="C23" s="307">
        <v>84</v>
      </c>
      <c r="D23" s="307">
        <v>84</v>
      </c>
      <c r="E23" s="306">
        <f t="shared" si="2"/>
        <v>100</v>
      </c>
      <c r="F23" s="307">
        <v>288</v>
      </c>
      <c r="G23" s="307">
        <v>136</v>
      </c>
      <c r="H23" s="306">
        <f t="shared" si="3"/>
        <v>47.22222222222222</v>
      </c>
      <c r="I23" s="307">
        <v>250</v>
      </c>
      <c r="J23" s="307">
        <v>94</v>
      </c>
      <c r="K23" s="306">
        <f t="shared" si="4"/>
        <v>37.6</v>
      </c>
      <c r="L23" s="307">
        <v>112</v>
      </c>
      <c r="M23" s="307">
        <v>30</v>
      </c>
      <c r="N23" s="306">
        <f t="shared" si="5"/>
        <v>26.785714285714285</v>
      </c>
      <c r="O23" s="307">
        <v>27</v>
      </c>
      <c r="P23" s="307">
        <v>5</v>
      </c>
      <c r="Q23" s="306">
        <f t="shared" si="6"/>
        <v>18.51851851851852</v>
      </c>
      <c r="R23" s="481">
        <f t="shared" si="0"/>
        <v>761</v>
      </c>
      <c r="S23" s="481">
        <f t="shared" si="1"/>
        <v>349</v>
      </c>
      <c r="T23" s="308">
        <f t="shared" si="7"/>
        <v>45.860709592641264</v>
      </c>
    </row>
    <row r="24" spans="1:20" ht="15" customHeight="1">
      <c r="A24" s="521"/>
      <c r="B24" s="521"/>
      <c r="C24" s="307"/>
      <c r="D24" s="307"/>
      <c r="E24" s="306"/>
      <c r="F24" s="307"/>
      <c r="G24" s="307"/>
      <c r="H24" s="306"/>
      <c r="I24" s="307"/>
      <c r="J24" s="307"/>
      <c r="K24" s="306"/>
      <c r="L24" s="307"/>
      <c r="M24" s="307"/>
      <c r="N24" s="306"/>
      <c r="O24" s="307"/>
      <c r="P24" s="307"/>
      <c r="Q24" s="306"/>
      <c r="R24" s="483"/>
      <c r="S24" s="483"/>
      <c r="T24" s="309"/>
    </row>
    <row r="25" spans="1:20" ht="19.5" customHeight="1" thickBot="1">
      <c r="A25" s="165" t="s">
        <v>859</v>
      </c>
      <c r="B25" s="310"/>
      <c r="C25" s="312">
        <f>SUM(C10:C24)</f>
        <v>1228</v>
      </c>
      <c r="D25" s="312">
        <f>SUM(D10:D24)</f>
        <v>1037</v>
      </c>
      <c r="E25" s="311">
        <f t="shared" si="2"/>
        <v>84.44625407166124</v>
      </c>
      <c r="F25" s="312">
        <f>SUM(F10:F24)</f>
        <v>3110</v>
      </c>
      <c r="G25" s="312">
        <f>SUM(G10:G24)</f>
        <v>1296</v>
      </c>
      <c r="H25" s="311">
        <f t="shared" si="3"/>
        <v>41.672025723472665</v>
      </c>
      <c r="I25" s="312">
        <f>SUM(I10:I24)</f>
        <v>2777</v>
      </c>
      <c r="J25" s="312">
        <f>SUM(J10:J24)</f>
        <v>1101</v>
      </c>
      <c r="K25" s="311">
        <f t="shared" si="4"/>
        <v>39.647101188332734</v>
      </c>
      <c r="L25" s="312">
        <f>SUM(L10:L24)</f>
        <v>1303</v>
      </c>
      <c r="M25" s="312">
        <f>SUM(M10:M24)</f>
        <v>474</v>
      </c>
      <c r="N25" s="311">
        <f t="shared" si="5"/>
        <v>36.37759017651573</v>
      </c>
      <c r="O25" s="312">
        <f>SUM(O10:O24)</f>
        <v>201</v>
      </c>
      <c r="P25" s="312">
        <f>SUM(P10:P24)</f>
        <v>81</v>
      </c>
      <c r="Q25" s="311">
        <f t="shared" si="6"/>
        <v>40.298507462686565</v>
      </c>
      <c r="R25" s="484">
        <f>O25+L25+I25+F25+D25</f>
        <v>8428</v>
      </c>
      <c r="S25" s="484">
        <f t="shared" si="1"/>
        <v>3989</v>
      </c>
      <c r="T25" s="313">
        <f t="shared" si="7"/>
        <v>47.330327479829144</v>
      </c>
    </row>
    <row r="26" ht="14.25" customHeight="1"/>
    <row r="27" spans="1:2" ht="14.25" customHeight="1">
      <c r="A27" s="720" t="s">
        <v>243</v>
      </c>
      <c r="B27" s="720"/>
    </row>
    <row r="28" ht="15">
      <c r="T28" s="511"/>
    </row>
  </sheetData>
  <mergeCells count="13">
    <mergeCell ref="A27:B27"/>
    <mergeCell ref="A1:B1"/>
    <mergeCell ref="A7:A8"/>
    <mergeCell ref="B7:B8"/>
    <mergeCell ref="A2:T2"/>
    <mergeCell ref="R7:T7"/>
    <mergeCell ref="F7:H7"/>
    <mergeCell ref="I7:K7"/>
    <mergeCell ref="L7:N7"/>
    <mergeCell ref="A4:T4"/>
    <mergeCell ref="A3:T3"/>
    <mergeCell ref="O7:Q7"/>
    <mergeCell ref="C7:E7"/>
  </mergeCells>
  <printOptions horizontalCentered="1"/>
  <pageMargins left="1.6929133858267718" right="0.9055118110236221" top="1.141732283464567" bottom="0.9055118110236221" header="0" footer="1.1811023622047245"/>
  <pageSetup fitToHeight="1" fitToWidth="1" horizontalDpi="300" verticalDpi="300" orientation="landscape" paperSize="9" scale="63" r:id="rId1"/>
  <headerFooter alignWithMargins="0">
    <oddFooter>&amp;C108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G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14" customWidth="1"/>
    <col min="2" max="2" width="30.7109375" style="14" customWidth="1"/>
    <col min="3" max="3" width="20.7109375" style="14" customWidth="1"/>
    <col min="4" max="7" width="12.7109375" style="14" customWidth="1"/>
    <col min="8" max="16384" width="9.140625" style="14" customWidth="1"/>
  </cols>
  <sheetData>
    <row r="1" ht="15">
      <c r="A1" s="13" t="s">
        <v>805</v>
      </c>
    </row>
    <row r="3" spans="1:7" ht="15">
      <c r="A3" s="641" t="s">
        <v>569</v>
      </c>
      <c r="B3" s="641"/>
      <c r="C3" s="641"/>
      <c r="D3" s="641"/>
      <c r="E3" s="641"/>
      <c r="F3" s="641"/>
      <c r="G3" s="641"/>
    </row>
    <row r="4" spans="1:7" ht="15">
      <c r="A4" s="641" t="s">
        <v>970</v>
      </c>
      <c r="B4" s="641"/>
      <c r="C4" s="641"/>
      <c r="D4" s="641"/>
      <c r="E4" s="641"/>
      <c r="F4" s="641"/>
      <c r="G4" s="641"/>
    </row>
    <row r="5" spans="1:7" ht="15">
      <c r="A5" s="641" t="str">
        <f>1!A6</f>
        <v>TAHUN 2009</v>
      </c>
      <c r="B5" s="641"/>
      <c r="C5" s="641"/>
      <c r="D5" s="641"/>
      <c r="E5" s="641"/>
      <c r="F5" s="641"/>
      <c r="G5" s="641"/>
    </row>
    <row r="7" spans="1:7" ht="15.75" thickBot="1">
      <c r="A7" s="18"/>
      <c r="B7" s="18"/>
      <c r="C7" s="18"/>
      <c r="D7" s="18"/>
      <c r="E7" s="18"/>
      <c r="F7" s="18"/>
      <c r="G7" s="18"/>
    </row>
    <row r="8" spans="1:7" ht="33" customHeight="1">
      <c r="A8" s="634" t="s">
        <v>2</v>
      </c>
      <c r="B8" s="634" t="s">
        <v>844</v>
      </c>
      <c r="C8" s="725" t="s">
        <v>338</v>
      </c>
      <c r="D8" s="208" t="s">
        <v>339</v>
      </c>
      <c r="E8" s="208"/>
      <c r="F8" s="580" t="s">
        <v>340</v>
      </c>
      <c r="G8" s="556"/>
    </row>
    <row r="9" spans="1:7" ht="24" customHeight="1">
      <c r="A9" s="635"/>
      <c r="B9" s="635"/>
      <c r="C9" s="662"/>
      <c r="D9" s="124" t="s">
        <v>21</v>
      </c>
      <c r="E9" s="124" t="s">
        <v>27</v>
      </c>
      <c r="F9" s="317" t="s">
        <v>21</v>
      </c>
      <c r="G9" s="124" t="s">
        <v>27</v>
      </c>
    </row>
    <row r="10" spans="1:7" ht="15">
      <c r="A10" s="11">
        <v>1</v>
      </c>
      <c r="B10" s="11">
        <v>2</v>
      </c>
      <c r="C10" s="11">
        <v>4</v>
      </c>
      <c r="D10" s="11">
        <v>5</v>
      </c>
      <c r="E10" s="11">
        <v>6</v>
      </c>
      <c r="F10" s="11">
        <v>7</v>
      </c>
      <c r="G10" s="11">
        <v>8</v>
      </c>
    </row>
    <row r="11" spans="1:7" ht="15" customHeight="1">
      <c r="A11" s="138">
        <f>6!A11</f>
        <v>1</v>
      </c>
      <c r="B11" s="138" t="str">
        <f>6!B11</f>
        <v>Kotawaringin Barat</v>
      </c>
      <c r="C11" s="186">
        <f>'47'!C11</f>
        <v>54477</v>
      </c>
      <c r="D11" s="31">
        <v>2227</v>
      </c>
      <c r="E11" s="187">
        <f>D11/C11*100</f>
        <v>4.087963727811737</v>
      </c>
      <c r="F11" s="186">
        <v>1959</v>
      </c>
      <c r="G11" s="205">
        <f>F11/D11*100</f>
        <v>87.96587337224966</v>
      </c>
    </row>
    <row r="12" spans="1:7" ht="15" customHeight="1">
      <c r="A12" s="138">
        <f>6!A12</f>
        <v>2</v>
      </c>
      <c r="B12" s="138" t="str">
        <f>6!B12</f>
        <v>Lamandau</v>
      </c>
      <c r="C12" s="186">
        <f>'47'!C12</f>
        <v>15389</v>
      </c>
      <c r="D12" s="31">
        <v>480</v>
      </c>
      <c r="E12" s="187">
        <f>D12/C12*100</f>
        <v>3.119111053349795</v>
      </c>
      <c r="F12" s="186">
        <v>182</v>
      </c>
      <c r="G12" s="205">
        <f>F12/D12*100</f>
        <v>37.916666666666664</v>
      </c>
    </row>
    <row r="13" spans="1:7" ht="15" customHeight="1">
      <c r="A13" s="138">
        <f>6!A13</f>
        <v>3</v>
      </c>
      <c r="B13" s="138" t="str">
        <f>6!B13</f>
        <v>Sukamara</v>
      </c>
      <c r="C13" s="186">
        <f>'47'!C13</f>
        <v>6619</v>
      </c>
      <c r="D13" s="31">
        <v>901</v>
      </c>
      <c r="E13" s="187">
        <f aca="true" t="shared" si="0" ref="E13:E26">D13/C13*100</f>
        <v>13.612328146245655</v>
      </c>
      <c r="F13" s="186">
        <v>860</v>
      </c>
      <c r="G13" s="205">
        <f aca="true" t="shared" si="1" ref="G13:G26">F13/D13*100</f>
        <v>95.44950055493896</v>
      </c>
    </row>
    <row r="14" spans="1:7" ht="15" customHeight="1">
      <c r="A14" s="138">
        <f>6!A14</f>
        <v>4</v>
      </c>
      <c r="B14" s="138" t="str">
        <f>6!B14</f>
        <v>Kotawaringin Timur</v>
      </c>
      <c r="C14" s="373">
        <f>'47'!C14</f>
        <v>80104</v>
      </c>
      <c r="D14" s="31">
        <v>7333</v>
      </c>
      <c r="E14" s="187">
        <f t="shared" si="0"/>
        <v>9.154349345850395</v>
      </c>
      <c r="F14" s="186">
        <v>4644</v>
      </c>
      <c r="G14" s="205">
        <f t="shared" si="1"/>
        <v>63.33015137051684</v>
      </c>
    </row>
    <row r="15" spans="1:7" ht="15" customHeight="1">
      <c r="A15" s="138">
        <f>6!A15</f>
        <v>5</v>
      </c>
      <c r="B15" s="138" t="str">
        <f>6!B15</f>
        <v>Seruyan</v>
      </c>
      <c r="C15" s="186">
        <f>'47'!C15</f>
        <v>34193</v>
      </c>
      <c r="D15" s="31">
        <v>3692</v>
      </c>
      <c r="E15" s="187">
        <f t="shared" si="0"/>
        <v>10.7975316585266</v>
      </c>
      <c r="F15" s="186">
        <v>2370</v>
      </c>
      <c r="G15" s="205">
        <f t="shared" si="1"/>
        <v>64.19284940411701</v>
      </c>
    </row>
    <row r="16" spans="1:7" ht="15" customHeight="1">
      <c r="A16" s="138">
        <f>6!A16</f>
        <v>6</v>
      </c>
      <c r="B16" s="138" t="str">
        <f>6!B16</f>
        <v>Katingan</v>
      </c>
      <c r="C16" s="186">
        <f>'47'!C16</f>
        <v>31047</v>
      </c>
      <c r="D16" s="31">
        <v>976</v>
      </c>
      <c r="E16" s="187">
        <f t="shared" si="0"/>
        <v>3.1436209617676423</v>
      </c>
      <c r="F16" s="186">
        <v>477</v>
      </c>
      <c r="G16" s="205">
        <f t="shared" si="1"/>
        <v>48.87295081967213</v>
      </c>
    </row>
    <row r="17" spans="1:7" ht="15" customHeight="1">
      <c r="A17" s="138">
        <f>6!A17</f>
        <v>7</v>
      </c>
      <c r="B17" s="138" t="str">
        <f>6!B17</f>
        <v>Kapuas</v>
      </c>
      <c r="C17" s="186">
        <f>'47'!C17</f>
        <v>90491</v>
      </c>
      <c r="D17" s="31">
        <v>1473</v>
      </c>
      <c r="E17" s="187">
        <f t="shared" si="0"/>
        <v>1.6277861886817475</v>
      </c>
      <c r="F17" s="186">
        <v>567</v>
      </c>
      <c r="G17" s="205">
        <f t="shared" si="1"/>
        <v>38.4928716904277</v>
      </c>
    </row>
    <row r="18" spans="1:7" ht="15" customHeight="1">
      <c r="A18" s="138">
        <f>6!A18</f>
        <v>8</v>
      </c>
      <c r="B18" s="138" t="str">
        <f>6!B18</f>
        <v>Pulang Pisau</v>
      </c>
      <c r="C18" s="186">
        <f>'47'!C18</f>
        <v>30171</v>
      </c>
      <c r="D18" s="31">
        <v>0</v>
      </c>
      <c r="E18" s="187">
        <f t="shared" si="0"/>
        <v>0</v>
      </c>
      <c r="F18" s="186">
        <v>0</v>
      </c>
      <c r="G18" s="31">
        <v>0</v>
      </c>
    </row>
    <row r="19" spans="1:7" ht="15" customHeight="1">
      <c r="A19" s="138">
        <f>6!A19</f>
        <v>9</v>
      </c>
      <c r="B19" s="138" t="str">
        <f>6!B19</f>
        <v>Gunung Mas</v>
      </c>
      <c r="C19" s="373">
        <f>'47'!C19</f>
        <v>27033</v>
      </c>
      <c r="D19" s="31">
        <v>7556</v>
      </c>
      <c r="E19" s="187">
        <f t="shared" si="0"/>
        <v>27.951022823955906</v>
      </c>
      <c r="F19" s="186">
        <v>5492</v>
      </c>
      <c r="G19" s="205">
        <f t="shared" si="1"/>
        <v>72.68395976707252</v>
      </c>
    </row>
    <row r="20" spans="1:7" ht="15" customHeight="1">
      <c r="A20" s="138">
        <f>6!A20</f>
        <v>10</v>
      </c>
      <c r="B20" s="138" t="str">
        <f>6!B20</f>
        <v>Barito Selatan</v>
      </c>
      <c r="C20" s="186">
        <f>'47'!C20</f>
        <v>25115</v>
      </c>
      <c r="D20" s="31">
        <v>0</v>
      </c>
      <c r="E20" s="187">
        <f t="shared" si="0"/>
        <v>0</v>
      </c>
      <c r="F20" s="186">
        <v>0</v>
      </c>
      <c r="G20" s="31">
        <v>0</v>
      </c>
    </row>
    <row r="21" spans="1:7" ht="15" customHeight="1">
      <c r="A21" s="138">
        <f>6!A21</f>
        <v>11</v>
      </c>
      <c r="B21" s="138" t="str">
        <f>6!B21</f>
        <v>Barito Timur</v>
      </c>
      <c r="C21" s="186">
        <f>'47'!C21</f>
        <v>29093</v>
      </c>
      <c r="D21" s="31">
        <v>6709</v>
      </c>
      <c r="E21" s="187">
        <f t="shared" si="0"/>
        <v>23.060530024404496</v>
      </c>
      <c r="F21" s="186">
        <v>3346</v>
      </c>
      <c r="G21" s="205">
        <f t="shared" si="1"/>
        <v>49.87330451632136</v>
      </c>
    </row>
    <row r="22" spans="1:7" ht="15" customHeight="1">
      <c r="A22" s="138">
        <f>6!A22</f>
        <v>12</v>
      </c>
      <c r="B22" s="138" t="str">
        <f>6!B22</f>
        <v>Barito Utara</v>
      </c>
      <c r="C22" s="186">
        <f>'47'!C22</f>
        <v>24019</v>
      </c>
      <c r="D22" s="31">
        <v>4419</v>
      </c>
      <c r="E22" s="187">
        <f t="shared" si="0"/>
        <v>18.397934968150214</v>
      </c>
      <c r="F22" s="186">
        <v>1282</v>
      </c>
      <c r="G22" s="205">
        <f t="shared" si="1"/>
        <v>29.01108848155691</v>
      </c>
    </row>
    <row r="23" spans="1:7" ht="15" customHeight="1">
      <c r="A23" s="138">
        <f>6!A23</f>
        <v>13</v>
      </c>
      <c r="B23" s="138" t="str">
        <f>6!B23</f>
        <v>Murung Raya</v>
      </c>
      <c r="C23" s="186">
        <f>'47'!C23</f>
        <v>13972</v>
      </c>
      <c r="D23" s="31">
        <v>7018</v>
      </c>
      <c r="E23" s="187">
        <f t="shared" si="0"/>
        <v>50.22902948754652</v>
      </c>
      <c r="F23" s="186">
        <v>4299</v>
      </c>
      <c r="G23" s="205">
        <f t="shared" si="1"/>
        <v>61.25676831005985</v>
      </c>
    </row>
    <row r="24" spans="1:7" ht="15" customHeight="1">
      <c r="A24" s="138">
        <f>6!A24</f>
        <v>14</v>
      </c>
      <c r="B24" s="138" t="str">
        <f>6!B24</f>
        <v>Palangka Raya</v>
      </c>
      <c r="C24" s="186">
        <f>'47'!C24</f>
        <v>43810</v>
      </c>
      <c r="D24" s="31">
        <v>700</v>
      </c>
      <c r="E24" s="187">
        <f>D24/C24*100</f>
        <v>1.5978087194704405</v>
      </c>
      <c r="F24" s="186">
        <v>669</v>
      </c>
      <c r="G24" s="205">
        <f>F24/D24*100</f>
        <v>95.57142857142857</v>
      </c>
    </row>
    <row r="25" spans="1:7" ht="15" customHeight="1">
      <c r="A25" s="35"/>
      <c r="B25" s="35"/>
      <c r="C25" s="189"/>
      <c r="D25" s="36"/>
      <c r="E25" s="187"/>
      <c r="F25" s="189"/>
      <c r="G25" s="205"/>
    </row>
    <row r="26" spans="1:7" ht="19.5" customHeight="1" thickBot="1">
      <c r="A26" s="165" t="s">
        <v>859</v>
      </c>
      <c r="B26" s="70"/>
      <c r="C26" s="318">
        <f>SUM(C11:C25)</f>
        <v>505533</v>
      </c>
      <c r="D26" s="318">
        <f>SUM(D11:D25)</f>
        <v>43484</v>
      </c>
      <c r="E26" s="190">
        <f t="shared" si="0"/>
        <v>8.601614533571498</v>
      </c>
      <c r="F26" s="318">
        <f>SUM(F11:F25)</f>
        <v>26147</v>
      </c>
      <c r="G26" s="190">
        <f t="shared" si="1"/>
        <v>60.13016281850796</v>
      </c>
    </row>
    <row r="27" spans="1:7" ht="15">
      <c r="A27" s="18"/>
      <c r="B27" s="18"/>
      <c r="C27" s="18"/>
      <c r="D27" s="18"/>
      <c r="E27" s="18"/>
      <c r="F27" s="18"/>
      <c r="G27" s="18"/>
    </row>
    <row r="28" ht="15">
      <c r="A28" s="14" t="s">
        <v>243</v>
      </c>
    </row>
    <row r="29" ht="15">
      <c r="G29" s="511"/>
    </row>
  </sheetData>
  <mergeCells count="7">
    <mergeCell ref="F8:G8"/>
    <mergeCell ref="A8:A9"/>
    <mergeCell ref="B8:B9"/>
    <mergeCell ref="C8:C9"/>
    <mergeCell ref="A3:G3"/>
    <mergeCell ref="A4:G4"/>
    <mergeCell ref="A5:G5"/>
  </mergeCells>
  <printOptions horizontalCentered="1"/>
  <pageMargins left="1.6929133858267718" right="0.9055118110236221" top="1.141732283464567" bottom="0.9055118110236221" header="0" footer="0.6692913385826772"/>
  <pageSetup fitToHeight="1" fitToWidth="1" horizontalDpi="300" verticalDpi="300" orientation="landscape" paperSize="9" r:id="rId1"/>
  <headerFooter alignWithMargins="0">
    <oddFooter>&amp;C109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33"/>
  <dimension ref="A1:S89"/>
  <sheetViews>
    <sheetView view="pageBreakPreview" zoomScale="60" zoomScaleNormal="75" workbookViewId="0" topLeftCell="A1">
      <selection activeCell="K26" sqref="K26"/>
    </sheetView>
  </sheetViews>
  <sheetFormatPr defaultColWidth="9.140625" defaultRowHeight="12.75"/>
  <cols>
    <col min="1" max="1" width="5.7109375" style="133" customWidth="1"/>
    <col min="2" max="2" width="18.421875" style="14" customWidth="1"/>
    <col min="3" max="3" width="17.57421875" style="14" customWidth="1"/>
    <col min="4" max="4" width="8.7109375" style="14" customWidth="1"/>
    <col min="5" max="5" width="11.00390625" style="14" customWidth="1"/>
    <col min="6" max="6" width="10.140625" style="14" customWidth="1"/>
    <col min="7" max="7" width="11.28125" style="14" customWidth="1"/>
    <col min="8" max="8" width="8.7109375" style="14" customWidth="1"/>
    <col min="9" max="9" width="10.140625" style="14" customWidth="1"/>
    <col min="10" max="10" width="8.7109375" style="14" customWidth="1"/>
    <col min="11" max="11" width="9.8515625" style="14" customWidth="1"/>
    <col min="12" max="12" width="8.7109375" style="14" customWidth="1"/>
    <col min="13" max="13" width="9.7109375" style="14" customWidth="1"/>
    <col min="14" max="14" width="8.7109375" style="14" customWidth="1"/>
    <col min="15" max="15" width="9.8515625" style="14" customWidth="1"/>
    <col min="16" max="16" width="8.7109375" style="14" customWidth="1"/>
    <col min="17" max="17" width="9.7109375" style="14" customWidth="1"/>
    <col min="18" max="18" width="9.8515625" style="14" customWidth="1"/>
    <col min="19" max="19" width="10.140625" style="14" customWidth="1"/>
    <col min="20" max="16384" width="9.140625" style="14" customWidth="1"/>
  </cols>
  <sheetData>
    <row r="1" ht="15">
      <c r="A1" s="132" t="s">
        <v>806</v>
      </c>
    </row>
    <row r="2" spans="1:19" ht="15">
      <c r="A2" s="654" t="s">
        <v>81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</row>
    <row r="3" spans="1:19" ht="15">
      <c r="A3" s="641" t="str">
        <f>1!A5</f>
        <v>PROVINSI KALIMANTAN TENGAH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</row>
    <row r="4" spans="1:19" ht="15">
      <c r="A4" s="641" t="str">
        <f>1!A6</f>
        <v>TAHUN 2009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</row>
    <row r="5" ht="15.75" thickBot="1"/>
    <row r="6" spans="1:19" ht="19.5" customHeight="1">
      <c r="A6" s="637" t="s">
        <v>2</v>
      </c>
      <c r="B6" s="319"/>
      <c r="C6" s="320"/>
      <c r="D6" s="257" t="s">
        <v>54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</row>
    <row r="7" spans="1:19" ht="30" customHeight="1">
      <c r="A7" s="638"/>
      <c r="B7" s="24" t="s">
        <v>53</v>
      </c>
      <c r="C7" s="321"/>
      <c r="D7" s="572" t="s">
        <v>55</v>
      </c>
      <c r="E7" s="574"/>
      <c r="F7" s="572" t="s">
        <v>56</v>
      </c>
      <c r="G7" s="574"/>
      <c r="H7" s="572" t="s">
        <v>57</v>
      </c>
      <c r="I7" s="574"/>
      <c r="J7" s="572" t="s">
        <v>58</v>
      </c>
      <c r="K7" s="574"/>
      <c r="L7" s="572" t="s">
        <v>59</v>
      </c>
      <c r="M7" s="574"/>
      <c r="N7" s="572" t="s">
        <v>60</v>
      </c>
      <c r="O7" s="574"/>
      <c r="P7" s="572" t="s">
        <v>61</v>
      </c>
      <c r="Q7" s="574"/>
      <c r="R7" s="640" t="s">
        <v>21</v>
      </c>
      <c r="S7" s="640" t="s">
        <v>27</v>
      </c>
    </row>
    <row r="8" spans="1:19" ht="19.5" customHeight="1">
      <c r="A8" s="639"/>
      <c r="B8" s="34"/>
      <c r="C8" s="99"/>
      <c r="D8" s="11" t="s">
        <v>82</v>
      </c>
      <c r="E8" s="11" t="s">
        <v>27</v>
      </c>
      <c r="F8" s="11" t="s">
        <v>82</v>
      </c>
      <c r="G8" s="11" t="s">
        <v>27</v>
      </c>
      <c r="H8" s="11" t="s">
        <v>82</v>
      </c>
      <c r="I8" s="11" t="s">
        <v>27</v>
      </c>
      <c r="J8" s="11" t="s">
        <v>82</v>
      </c>
      <c r="K8" s="11" t="s">
        <v>27</v>
      </c>
      <c r="L8" s="11" t="s">
        <v>82</v>
      </c>
      <c r="M8" s="11" t="s">
        <v>27</v>
      </c>
      <c r="N8" s="11" t="s">
        <v>82</v>
      </c>
      <c r="O8" s="11" t="s">
        <v>27</v>
      </c>
      <c r="P8" s="11" t="s">
        <v>82</v>
      </c>
      <c r="Q8" s="11" t="s">
        <v>27</v>
      </c>
      <c r="R8" s="636"/>
      <c r="S8" s="636"/>
    </row>
    <row r="9" spans="1:19" ht="15">
      <c r="A9" s="59">
        <v>1</v>
      </c>
      <c r="B9" s="730">
        <v>2</v>
      </c>
      <c r="C9" s="731"/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</row>
    <row r="10" spans="1:19" ht="15">
      <c r="A10" s="23"/>
      <c r="B10" s="363"/>
      <c r="C10" s="36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51" customHeight="1">
      <c r="A11" s="158" t="s">
        <v>279</v>
      </c>
      <c r="B11" s="726" t="s">
        <v>831</v>
      </c>
      <c r="C11" s="727"/>
      <c r="D11" s="36">
        <f>SUM(D12:D25)</f>
        <v>285</v>
      </c>
      <c r="E11" s="199">
        <f>D11/$D$78*100</f>
        <v>51.63043478260869</v>
      </c>
      <c r="F11" s="36">
        <f>SUM(F12:F25)</f>
        <v>3085</v>
      </c>
      <c r="G11" s="199">
        <f>F11/$F$78*100</f>
        <v>66.67387075859088</v>
      </c>
      <c r="H11" s="36">
        <f>SUM(H12:H25)</f>
        <v>79</v>
      </c>
      <c r="I11" s="199">
        <f>H11/$H$78*100</f>
        <v>30.501930501930502</v>
      </c>
      <c r="J11" s="36">
        <f>SUM(J12:J25)</f>
        <v>177</v>
      </c>
      <c r="K11" s="199">
        <f>J11/$J$78*100</f>
        <v>64.83516483516483</v>
      </c>
      <c r="L11" s="36">
        <f>SUM(L12:L25)</f>
        <v>83</v>
      </c>
      <c r="M11" s="199">
        <f>L11/$L$78*100</f>
        <v>29.642857142857142</v>
      </c>
      <c r="N11" s="36">
        <f>SUM(N12:N25)</f>
        <v>146</v>
      </c>
      <c r="O11" s="199">
        <f>N11/$N$78*100</f>
        <v>56.809338521400775</v>
      </c>
      <c r="P11" s="36">
        <f>SUM(P12:P25)</f>
        <v>49</v>
      </c>
      <c r="Q11" s="199">
        <f>P11/$P$78*100</f>
        <v>20.33195020746888</v>
      </c>
      <c r="R11" s="36">
        <f>D11+F11+H11+J11+L11+N11+P11</f>
        <v>3904</v>
      </c>
      <c r="S11" s="199">
        <f>R11/$R$78*100</f>
        <v>60.16335336723686</v>
      </c>
    </row>
    <row r="12" spans="1:19" ht="15" customHeight="1">
      <c r="A12" s="138">
        <f>'35'!A11</f>
        <v>1</v>
      </c>
      <c r="B12" s="734" t="str">
        <f>'35'!B11</f>
        <v>Kotawaringin Barat</v>
      </c>
      <c r="C12" s="735"/>
      <c r="D12" s="31">
        <f>'55'!F11</f>
        <v>28</v>
      </c>
      <c r="E12" s="198"/>
      <c r="F12" s="31">
        <f>'57'!F12+'57'!J12</f>
        <v>224</v>
      </c>
      <c r="G12" s="198"/>
      <c r="H12" s="31">
        <f>'56'!G11</f>
        <v>14</v>
      </c>
      <c r="I12" s="198"/>
      <c r="J12" s="31">
        <f>'56'!K11</f>
        <v>13</v>
      </c>
      <c r="K12" s="198"/>
      <c r="L12" s="31">
        <f>'59'!G11</f>
        <v>13</v>
      </c>
      <c r="M12" s="198"/>
      <c r="N12" s="31">
        <f>'58'!H11</f>
        <v>13</v>
      </c>
      <c r="O12" s="198"/>
      <c r="P12" s="31">
        <f>'58'!E11</f>
        <v>1</v>
      </c>
      <c r="Q12" s="198"/>
      <c r="R12" s="31">
        <f>D12+F12+H12+J12+L12+N12+P12</f>
        <v>306</v>
      </c>
      <c r="S12" s="198"/>
    </row>
    <row r="13" spans="1:19" ht="15" customHeight="1">
      <c r="A13" s="138">
        <f>'35'!A12</f>
        <v>2</v>
      </c>
      <c r="B13" s="489" t="str">
        <f>'35'!B12</f>
        <v>Lamandau</v>
      </c>
      <c r="C13" s="490"/>
      <c r="D13" s="31">
        <f>'55'!F12</f>
        <v>11</v>
      </c>
      <c r="E13" s="198"/>
      <c r="F13" s="31">
        <f>'57'!F13+'57'!J13</f>
        <v>176</v>
      </c>
      <c r="G13" s="198"/>
      <c r="H13" s="31">
        <f>'56'!G12</f>
        <v>3</v>
      </c>
      <c r="I13" s="198"/>
      <c r="J13" s="31">
        <f>'56'!K12</f>
        <v>14</v>
      </c>
      <c r="K13" s="198"/>
      <c r="L13" s="31">
        <f>'59'!G12</f>
        <v>1</v>
      </c>
      <c r="M13" s="198"/>
      <c r="N13" s="31">
        <f>'58'!H12</f>
        <v>2</v>
      </c>
      <c r="O13" s="198"/>
      <c r="P13" s="31">
        <f>'58'!E12</f>
        <v>9</v>
      </c>
      <c r="Q13" s="198"/>
      <c r="R13" s="31">
        <f>D13+F13+H13+J13+L13+N13+P13</f>
        <v>216</v>
      </c>
      <c r="S13" s="198"/>
    </row>
    <row r="14" spans="1:19" ht="15" customHeight="1">
      <c r="A14" s="138">
        <f>'35'!A13</f>
        <v>3</v>
      </c>
      <c r="B14" s="489" t="str">
        <f>'35'!B13</f>
        <v>Sukamara</v>
      </c>
      <c r="C14" s="490"/>
      <c r="D14" s="31">
        <f>'55'!F13</f>
        <v>11</v>
      </c>
      <c r="E14" s="198"/>
      <c r="F14" s="31">
        <f>'57'!F14+'57'!J14</f>
        <v>94</v>
      </c>
      <c r="G14" s="198"/>
      <c r="H14" s="31">
        <f>'56'!G13</f>
        <v>3</v>
      </c>
      <c r="I14" s="198"/>
      <c r="J14" s="31">
        <f>'56'!K13</f>
        <v>5</v>
      </c>
      <c r="K14" s="198"/>
      <c r="L14" s="31">
        <f>'59'!G13</f>
        <v>3</v>
      </c>
      <c r="M14" s="198"/>
      <c r="N14" s="31">
        <f>'58'!H13</f>
        <v>6</v>
      </c>
      <c r="O14" s="198"/>
      <c r="P14" s="31">
        <f>'58'!E13</f>
        <v>1</v>
      </c>
      <c r="Q14" s="198"/>
      <c r="R14" s="31">
        <f>D14+F14+H14+J14+L14+N14+P14</f>
        <v>123</v>
      </c>
      <c r="S14" s="198"/>
    </row>
    <row r="15" spans="1:19" ht="15" customHeight="1">
      <c r="A15" s="138">
        <f>'35'!A14</f>
        <v>4</v>
      </c>
      <c r="B15" s="732" t="str">
        <f>'35'!B14</f>
        <v>Kotawaringin Timur</v>
      </c>
      <c r="C15" s="733"/>
      <c r="D15" s="31">
        <f>'55'!F14</f>
        <v>42</v>
      </c>
      <c r="E15" s="198"/>
      <c r="F15" s="31">
        <f>'57'!F15+'57'!J15</f>
        <v>366</v>
      </c>
      <c r="G15" s="198"/>
      <c r="H15" s="31">
        <f>'56'!G14</f>
        <v>9</v>
      </c>
      <c r="I15" s="198"/>
      <c r="J15" s="31">
        <f>'56'!K14</f>
        <v>18</v>
      </c>
      <c r="K15" s="198"/>
      <c r="L15" s="31">
        <f>'59'!G14</f>
        <v>9</v>
      </c>
      <c r="M15" s="198"/>
      <c r="N15" s="31">
        <f>'58'!H14</f>
        <v>20</v>
      </c>
      <c r="O15" s="198"/>
      <c r="P15" s="31">
        <f>'58'!E14</f>
        <v>0</v>
      </c>
      <c r="Q15" s="198"/>
      <c r="R15" s="31">
        <f>D15+F15+H15+J15+L15+N15+P15</f>
        <v>464</v>
      </c>
      <c r="S15" s="198"/>
    </row>
    <row r="16" spans="1:19" ht="15" customHeight="1">
      <c r="A16" s="138">
        <f>'35'!A15</f>
        <v>5</v>
      </c>
      <c r="B16" s="489" t="str">
        <f>'35'!B15</f>
        <v>Seruyan</v>
      </c>
      <c r="C16" s="490"/>
      <c r="D16" s="31">
        <f>'55'!F15</f>
        <v>10</v>
      </c>
      <c r="E16" s="198"/>
      <c r="F16" s="31">
        <f>'57'!F16+'57'!J16</f>
        <v>148</v>
      </c>
      <c r="G16" s="198"/>
      <c r="H16" s="31">
        <f>'56'!G15</f>
        <v>1</v>
      </c>
      <c r="I16" s="198"/>
      <c r="J16" s="31">
        <f>'56'!K15</f>
        <v>13</v>
      </c>
      <c r="K16" s="141"/>
      <c r="L16" s="31">
        <f>'59'!G15</f>
        <v>4</v>
      </c>
      <c r="M16" s="141"/>
      <c r="N16" s="31">
        <f>'58'!H15</f>
        <v>6</v>
      </c>
      <c r="O16" s="141"/>
      <c r="P16" s="31">
        <f>'58'!E15</f>
        <v>1</v>
      </c>
      <c r="Q16" s="141"/>
      <c r="R16" s="139">
        <f aca="true" t="shared" si="0" ref="R16:R25">D16+F16+H16+J16+L16+N16+P16</f>
        <v>183</v>
      </c>
      <c r="S16" s="198"/>
    </row>
    <row r="17" spans="1:19" ht="15" customHeight="1">
      <c r="A17" s="138">
        <f>'35'!A16</f>
        <v>6</v>
      </c>
      <c r="B17" s="489" t="str">
        <f>'35'!B16</f>
        <v>Katingan</v>
      </c>
      <c r="C17" s="490"/>
      <c r="D17" s="31">
        <f>'55'!F16</f>
        <v>19</v>
      </c>
      <c r="E17" s="198"/>
      <c r="F17" s="31">
        <f>'57'!F17+'57'!J17</f>
        <v>296</v>
      </c>
      <c r="G17" s="198"/>
      <c r="H17" s="31">
        <f>'56'!G16</f>
        <v>1</v>
      </c>
      <c r="I17" s="198"/>
      <c r="J17" s="31">
        <f>'56'!K16</f>
        <v>12</v>
      </c>
      <c r="K17" s="198"/>
      <c r="L17" s="31">
        <f>'59'!G16</f>
        <v>1</v>
      </c>
      <c r="M17" s="198"/>
      <c r="N17" s="31">
        <f>'58'!H16</f>
        <v>7</v>
      </c>
      <c r="O17" s="198"/>
      <c r="P17" s="31">
        <f>'58'!E16</f>
        <v>0</v>
      </c>
      <c r="Q17" s="198"/>
      <c r="R17" s="31">
        <f t="shared" si="0"/>
        <v>336</v>
      </c>
      <c r="S17" s="198"/>
    </row>
    <row r="18" spans="1:19" ht="15" customHeight="1">
      <c r="A18" s="138">
        <f>'35'!A17</f>
        <v>7</v>
      </c>
      <c r="B18" s="489" t="str">
        <f>'35'!B17</f>
        <v>Kapuas</v>
      </c>
      <c r="C18" s="490"/>
      <c r="D18" s="31">
        <f>'55'!F17</f>
        <v>33</v>
      </c>
      <c r="E18" s="198"/>
      <c r="F18" s="31">
        <f>'57'!F18+'57'!J18</f>
        <v>375</v>
      </c>
      <c r="G18" s="198"/>
      <c r="H18" s="31">
        <f>'56'!G17</f>
        <v>11</v>
      </c>
      <c r="I18" s="198"/>
      <c r="J18" s="31">
        <f>'56'!K17</f>
        <v>28</v>
      </c>
      <c r="K18" s="198"/>
      <c r="L18" s="31">
        <f>'59'!G17</f>
        <v>11</v>
      </c>
      <c r="M18" s="198"/>
      <c r="N18" s="31">
        <f>'58'!H17</f>
        <v>27</v>
      </c>
      <c r="O18" s="198"/>
      <c r="P18" s="31">
        <f>'58'!E17</f>
        <v>9</v>
      </c>
      <c r="Q18" s="198"/>
      <c r="R18" s="31">
        <f t="shared" si="0"/>
        <v>494</v>
      </c>
      <c r="S18" s="198"/>
    </row>
    <row r="19" spans="1:19" ht="15" customHeight="1">
      <c r="A19" s="138">
        <f>'35'!A18</f>
        <v>8</v>
      </c>
      <c r="B19" s="489" t="str">
        <f>'35'!B18</f>
        <v>Pulang Pisau</v>
      </c>
      <c r="C19" s="490"/>
      <c r="D19" s="31">
        <f>'55'!F18</f>
        <v>15</v>
      </c>
      <c r="E19" s="198"/>
      <c r="F19" s="31">
        <f>'57'!F19+'57'!J19</f>
        <v>195</v>
      </c>
      <c r="G19" s="198"/>
      <c r="H19" s="31">
        <f>'56'!G18</f>
        <v>3</v>
      </c>
      <c r="I19" s="198"/>
      <c r="J19" s="31">
        <f>'56'!K18</f>
        <v>12</v>
      </c>
      <c r="K19" s="198"/>
      <c r="L19" s="31">
        <f>'59'!G18</f>
        <v>3</v>
      </c>
      <c r="M19" s="198"/>
      <c r="N19" s="31">
        <f>'58'!H18</f>
        <v>6</v>
      </c>
      <c r="O19" s="198"/>
      <c r="P19" s="31">
        <f>'58'!E18</f>
        <v>1</v>
      </c>
      <c r="Q19" s="198"/>
      <c r="R19" s="31">
        <f t="shared" si="0"/>
        <v>235</v>
      </c>
      <c r="S19" s="198"/>
    </row>
    <row r="20" spans="1:19" ht="15" customHeight="1">
      <c r="A20" s="138">
        <f>'35'!A19</f>
        <v>9</v>
      </c>
      <c r="B20" s="489" t="str">
        <f>'35'!B19</f>
        <v>Gunung Mas</v>
      </c>
      <c r="C20" s="490"/>
      <c r="D20" s="31">
        <f>'55'!F19</f>
        <v>16</v>
      </c>
      <c r="E20" s="198"/>
      <c r="F20" s="31">
        <f>'57'!F20+'57'!J20</f>
        <v>195</v>
      </c>
      <c r="G20" s="198"/>
      <c r="H20" s="31">
        <f>'56'!G19</f>
        <v>1</v>
      </c>
      <c r="I20" s="198"/>
      <c r="J20" s="31">
        <f>'56'!K19</f>
        <v>7</v>
      </c>
      <c r="K20" s="198"/>
      <c r="L20" s="31">
        <f>'59'!G19</f>
        <v>0</v>
      </c>
      <c r="M20" s="198"/>
      <c r="N20" s="31">
        <f>'58'!H19</f>
        <v>4</v>
      </c>
      <c r="O20" s="198"/>
      <c r="P20" s="31">
        <f>'58'!E19</f>
        <v>2</v>
      </c>
      <c r="Q20" s="198"/>
      <c r="R20" s="31">
        <f t="shared" si="0"/>
        <v>225</v>
      </c>
      <c r="S20" s="198"/>
    </row>
    <row r="21" spans="1:19" ht="15" customHeight="1">
      <c r="A21" s="138">
        <f>'35'!A20</f>
        <v>10</v>
      </c>
      <c r="B21" s="489" t="str">
        <f>'35'!B20</f>
        <v>Barito Selatan</v>
      </c>
      <c r="C21" s="490"/>
      <c r="D21" s="31">
        <f>'55'!F20</f>
        <v>12</v>
      </c>
      <c r="E21" s="198"/>
      <c r="F21" s="31">
        <f>'57'!F21+'57'!J21</f>
        <v>177</v>
      </c>
      <c r="G21" s="198"/>
      <c r="H21" s="31">
        <f>'56'!G20</f>
        <v>3</v>
      </c>
      <c r="I21" s="198"/>
      <c r="J21" s="31">
        <f>'56'!K20</f>
        <v>10</v>
      </c>
      <c r="K21" s="198"/>
      <c r="L21" s="31">
        <f>'59'!G20</f>
        <v>7</v>
      </c>
      <c r="M21" s="198"/>
      <c r="N21" s="31">
        <f>'58'!H20</f>
        <v>15</v>
      </c>
      <c r="O21" s="198"/>
      <c r="P21" s="31">
        <f>'58'!E20</f>
        <v>2</v>
      </c>
      <c r="Q21" s="198"/>
      <c r="R21" s="31">
        <f t="shared" si="0"/>
        <v>226</v>
      </c>
      <c r="S21" s="198"/>
    </row>
    <row r="22" spans="1:19" ht="15" customHeight="1">
      <c r="A22" s="138">
        <f>'35'!A21</f>
        <v>11</v>
      </c>
      <c r="B22" s="489" t="str">
        <f>'35'!B21</f>
        <v>Barito Timur</v>
      </c>
      <c r="C22" s="490"/>
      <c r="D22" s="31">
        <f>'55'!F21</f>
        <v>12</v>
      </c>
      <c r="E22" s="198"/>
      <c r="F22" s="31">
        <f>'57'!F22+'57'!J22</f>
        <v>188</v>
      </c>
      <c r="G22" s="198"/>
      <c r="H22" s="31">
        <f>'56'!G21</f>
        <v>5</v>
      </c>
      <c r="I22" s="198"/>
      <c r="J22" s="31">
        <f>'56'!K21</f>
        <v>9</v>
      </c>
      <c r="K22" s="198"/>
      <c r="L22" s="31">
        <f>'59'!G21</f>
        <v>9</v>
      </c>
      <c r="M22" s="198"/>
      <c r="N22" s="31">
        <f>'58'!H21</f>
        <v>15</v>
      </c>
      <c r="O22" s="198"/>
      <c r="P22" s="31">
        <f>'58'!E21</f>
        <v>1</v>
      </c>
      <c r="Q22" s="198"/>
      <c r="R22" s="31">
        <f t="shared" si="0"/>
        <v>239</v>
      </c>
      <c r="S22" s="198"/>
    </row>
    <row r="23" spans="1:19" ht="15" customHeight="1">
      <c r="A23" s="138">
        <f>'35'!A22</f>
        <v>12</v>
      </c>
      <c r="B23" s="489" t="str">
        <f>'35'!B22</f>
        <v>Barito Utara</v>
      </c>
      <c r="C23" s="490"/>
      <c r="D23" s="31">
        <f>'55'!F22</f>
        <v>16</v>
      </c>
      <c r="E23" s="198"/>
      <c r="F23" s="31">
        <f>'57'!F23+'57'!J23</f>
        <v>219</v>
      </c>
      <c r="G23" s="198"/>
      <c r="H23" s="31">
        <f>'56'!G22</f>
        <v>7</v>
      </c>
      <c r="I23" s="198"/>
      <c r="J23" s="31">
        <f>'56'!K22</f>
        <v>14</v>
      </c>
      <c r="K23" s="198"/>
      <c r="L23" s="31">
        <f>'59'!G22</f>
        <v>5</v>
      </c>
      <c r="M23" s="198"/>
      <c r="N23" s="31">
        <f>'58'!H22</f>
        <v>4</v>
      </c>
      <c r="O23" s="198"/>
      <c r="P23" s="31">
        <f>'58'!E22</f>
        <v>15</v>
      </c>
      <c r="Q23" s="198"/>
      <c r="R23" s="31">
        <f t="shared" si="0"/>
        <v>280</v>
      </c>
      <c r="S23" s="198"/>
    </row>
    <row r="24" spans="1:19" ht="15" customHeight="1">
      <c r="A24" s="138">
        <f>'35'!A23</f>
        <v>13</v>
      </c>
      <c r="B24" s="489" t="str">
        <f>'35'!B23</f>
        <v>Murung Raya</v>
      </c>
      <c r="C24" s="490"/>
      <c r="D24" s="31">
        <f>'55'!F23</f>
        <v>18</v>
      </c>
      <c r="E24" s="198"/>
      <c r="F24" s="31">
        <f>'57'!F24+'57'!J24</f>
        <v>154</v>
      </c>
      <c r="G24" s="198"/>
      <c r="H24" s="31">
        <f>'56'!G23</f>
        <v>5</v>
      </c>
      <c r="I24" s="198"/>
      <c r="J24" s="31">
        <f>'56'!K23</f>
        <v>8</v>
      </c>
      <c r="K24" s="198"/>
      <c r="L24" s="31">
        <f>'59'!G23</f>
        <v>6</v>
      </c>
      <c r="M24" s="198"/>
      <c r="N24" s="31">
        <f>'58'!H23</f>
        <v>9</v>
      </c>
      <c r="O24" s="198"/>
      <c r="P24" s="31">
        <f>'58'!E23</f>
        <v>3</v>
      </c>
      <c r="Q24" s="198"/>
      <c r="R24" s="31">
        <f t="shared" si="0"/>
        <v>203</v>
      </c>
      <c r="S24" s="198"/>
    </row>
    <row r="25" spans="1:19" ht="15" customHeight="1">
      <c r="A25" s="138">
        <f>'35'!A24</f>
        <v>14</v>
      </c>
      <c r="B25" s="489" t="str">
        <f>'35'!B24</f>
        <v>Palangka Raya</v>
      </c>
      <c r="C25" s="490"/>
      <c r="D25" s="31">
        <f>'55'!F24</f>
        <v>42</v>
      </c>
      <c r="E25" s="198"/>
      <c r="F25" s="31">
        <f>'57'!F25+'57'!J25</f>
        <v>278</v>
      </c>
      <c r="G25" s="198"/>
      <c r="H25" s="31">
        <f>'56'!G24</f>
        <v>13</v>
      </c>
      <c r="I25" s="198"/>
      <c r="J25" s="31">
        <f>'56'!K24</f>
        <v>14</v>
      </c>
      <c r="K25" s="198"/>
      <c r="L25" s="31">
        <f>'59'!G24</f>
        <v>11</v>
      </c>
      <c r="M25" s="198"/>
      <c r="N25" s="31">
        <f>'58'!H24</f>
        <v>12</v>
      </c>
      <c r="O25" s="198"/>
      <c r="P25" s="31">
        <f>'58'!E24</f>
        <v>4</v>
      </c>
      <c r="Q25" s="198"/>
      <c r="R25" s="31">
        <f t="shared" si="0"/>
        <v>374</v>
      </c>
      <c r="S25" s="198"/>
    </row>
    <row r="26" spans="1:19" ht="15" customHeight="1">
      <c r="A26" s="158"/>
      <c r="B26" s="34" t="s">
        <v>1</v>
      </c>
      <c r="C26" s="99"/>
      <c r="D26" s="36"/>
      <c r="E26" s="199"/>
      <c r="F26" s="36"/>
      <c r="G26" s="199"/>
      <c r="H26" s="199"/>
      <c r="I26" s="199"/>
      <c r="J26" s="36"/>
      <c r="K26" s="199"/>
      <c r="L26" s="36"/>
      <c r="M26" s="199"/>
      <c r="N26" s="36"/>
      <c r="O26" s="199"/>
      <c r="P26" s="36"/>
      <c r="Q26" s="199"/>
      <c r="R26" s="36"/>
      <c r="S26" s="199"/>
    </row>
    <row r="27" spans="1:19" ht="30" customHeight="1">
      <c r="A27" s="158">
        <v>2</v>
      </c>
      <c r="B27" s="728" t="s">
        <v>36</v>
      </c>
      <c r="C27" s="729"/>
      <c r="D27" s="36">
        <f>SUM(D28:D42)</f>
        <v>212</v>
      </c>
      <c r="E27" s="199">
        <f>D27/$D$78*100</f>
        <v>38.405797101449274</v>
      </c>
      <c r="F27" s="36">
        <f>SUM(F28:F42)</f>
        <v>1326</v>
      </c>
      <c r="G27" s="199">
        <f>F27/$F$78*100</f>
        <v>28.657877674519128</v>
      </c>
      <c r="H27" s="36">
        <f>SUM(H28:H42)</f>
        <v>83</v>
      </c>
      <c r="I27" s="199">
        <f>H27/$H$78*100</f>
        <v>32.04633204633205</v>
      </c>
      <c r="J27" s="36">
        <f>SUM(J28:J42)</f>
        <v>60</v>
      </c>
      <c r="K27" s="199">
        <f>J27/$J$78*100</f>
        <v>21.978021978021978</v>
      </c>
      <c r="L27" s="36">
        <f>SUM(L28:L42)</f>
        <v>149</v>
      </c>
      <c r="M27" s="199">
        <f>L27/$L$78*100</f>
        <v>53.214285714285715</v>
      </c>
      <c r="N27" s="36">
        <f>SUM(N28:N42)</f>
        <v>49</v>
      </c>
      <c r="O27" s="199">
        <f>N27/$N$78*100</f>
        <v>19.06614785992218</v>
      </c>
      <c r="P27" s="36">
        <f>SUM(P28:P42)</f>
        <v>42</v>
      </c>
      <c r="Q27" s="199">
        <f>P27/$P$78*100</f>
        <v>17.42738589211618</v>
      </c>
      <c r="R27" s="36">
        <f>D27+F27+H27+J27+L27+N27+P27</f>
        <v>1921</v>
      </c>
      <c r="S27" s="199">
        <f>R27/$R$78*100</f>
        <v>29.60394513792572</v>
      </c>
    </row>
    <row r="28" spans="1:19" ht="15" customHeight="1">
      <c r="A28" s="138">
        <f>'35'!A45</f>
        <v>1</v>
      </c>
      <c r="B28" s="455" t="str">
        <f>'35'!B45</f>
        <v>Dr. St. Imanuddin</v>
      </c>
      <c r="C28" s="456"/>
      <c r="D28" s="31">
        <f>'55'!F28</f>
        <v>23</v>
      </c>
      <c r="E28" s="198"/>
      <c r="F28" s="31">
        <f>'57'!F29+'57'!J29</f>
        <v>106</v>
      </c>
      <c r="G28" s="198"/>
      <c r="H28" s="31">
        <f>'56'!G28</f>
        <v>5</v>
      </c>
      <c r="I28" s="198"/>
      <c r="J28" s="31">
        <f>'56'!K28</f>
        <v>5</v>
      </c>
      <c r="K28" s="198"/>
      <c r="L28" s="31">
        <f>'59'!G28</f>
        <v>22</v>
      </c>
      <c r="M28" s="198"/>
      <c r="N28" s="31">
        <f>'58'!H28</f>
        <v>2</v>
      </c>
      <c r="O28" s="198"/>
      <c r="P28" s="31">
        <f>'58'!E28</f>
        <v>6</v>
      </c>
      <c r="Q28" s="198"/>
      <c r="R28" s="31">
        <f>D28+F28+H28+J28+L28+N28+P28</f>
        <v>169</v>
      </c>
      <c r="S28" s="198"/>
    </row>
    <row r="29" spans="1:19" ht="15" customHeight="1">
      <c r="A29" s="138">
        <f>'35'!A46</f>
        <v>2</v>
      </c>
      <c r="B29" s="455" t="str">
        <f>'35'!B46</f>
        <v>Lamandau</v>
      </c>
      <c r="C29" s="456"/>
      <c r="D29" s="31">
        <f>'55'!F29</f>
        <v>5</v>
      </c>
      <c r="E29" s="198"/>
      <c r="F29" s="31">
        <f>'57'!F30+'57'!J30</f>
        <v>31</v>
      </c>
      <c r="G29" s="198"/>
      <c r="H29" s="31">
        <f>'56'!G29</f>
        <v>2</v>
      </c>
      <c r="I29" s="198"/>
      <c r="J29" s="31">
        <f>'56'!K29</f>
        <v>1</v>
      </c>
      <c r="K29" s="198"/>
      <c r="L29" s="31">
        <f>'59'!G29</f>
        <v>2</v>
      </c>
      <c r="M29" s="198"/>
      <c r="N29" s="31">
        <f>'58'!H29</f>
        <v>0</v>
      </c>
      <c r="O29" s="198"/>
      <c r="P29" s="31">
        <f>'58'!E29</f>
        <v>1</v>
      </c>
      <c r="Q29" s="198"/>
      <c r="R29" s="31">
        <f>D29+F29+H29+J29+L29+N29+P29</f>
        <v>42</v>
      </c>
      <c r="S29" s="198"/>
    </row>
    <row r="30" spans="1:19" ht="15" customHeight="1">
      <c r="A30" s="138">
        <f>'35'!A47</f>
        <v>3</v>
      </c>
      <c r="B30" s="455" t="str">
        <f>'35'!B47</f>
        <v>Sukamara</v>
      </c>
      <c r="C30" s="456"/>
      <c r="D30" s="31">
        <f>'55'!F30</f>
        <v>4</v>
      </c>
      <c r="E30" s="198"/>
      <c r="F30" s="31">
        <f>'57'!F31+'57'!J31</f>
        <v>41</v>
      </c>
      <c r="G30" s="198"/>
      <c r="H30" s="31">
        <f>'56'!G30</f>
        <v>5</v>
      </c>
      <c r="I30" s="198"/>
      <c r="J30" s="31">
        <f>'56'!K30</f>
        <v>2</v>
      </c>
      <c r="K30" s="198"/>
      <c r="L30" s="31">
        <f>'59'!G30</f>
        <v>6</v>
      </c>
      <c r="M30" s="198"/>
      <c r="N30" s="31">
        <f>'58'!H30</f>
        <v>2</v>
      </c>
      <c r="O30" s="198"/>
      <c r="P30" s="31">
        <f>'58'!E30</f>
        <v>3</v>
      </c>
      <c r="Q30" s="198"/>
      <c r="R30" s="31">
        <f>D30+F30+H30+J30+L30+N30+P30</f>
        <v>63</v>
      </c>
      <c r="S30" s="198"/>
    </row>
    <row r="31" spans="1:19" ht="15" customHeight="1">
      <c r="A31" s="138">
        <f>'35'!A48</f>
        <v>4</v>
      </c>
      <c r="B31" s="455" t="str">
        <f>'35'!B48</f>
        <v>Dr. Murjani</v>
      </c>
      <c r="C31" s="456"/>
      <c r="D31" s="31">
        <f>'55'!F31</f>
        <v>28</v>
      </c>
      <c r="E31" s="198"/>
      <c r="F31" s="31">
        <f>'57'!F32+'57'!J32</f>
        <v>117</v>
      </c>
      <c r="G31" s="198"/>
      <c r="H31" s="31">
        <f>'56'!G31</f>
        <v>7</v>
      </c>
      <c r="I31" s="198"/>
      <c r="J31" s="31">
        <f>'56'!K31</f>
        <v>8</v>
      </c>
      <c r="K31" s="198"/>
      <c r="L31" s="31">
        <f>'59'!G31</f>
        <v>9</v>
      </c>
      <c r="M31" s="198"/>
      <c r="N31" s="31">
        <f>'58'!H31</f>
        <v>4</v>
      </c>
      <c r="O31" s="198"/>
      <c r="P31" s="31">
        <f>'58'!E31</f>
        <v>6</v>
      </c>
      <c r="Q31" s="198"/>
      <c r="R31" s="31">
        <f>D31+F31+H31+J31+L31+N31+P31</f>
        <v>179</v>
      </c>
      <c r="S31" s="198"/>
    </row>
    <row r="32" spans="1:19" ht="15" customHeight="1">
      <c r="A32" s="138">
        <f>'35'!A49</f>
        <v>5</v>
      </c>
      <c r="B32" s="455" t="str">
        <f>'35'!B49</f>
        <v>Kuala Pembuang</v>
      </c>
      <c r="C32" s="456"/>
      <c r="D32" s="31">
        <f>'55'!F32</f>
        <v>6</v>
      </c>
      <c r="E32" s="141"/>
      <c r="F32" s="31">
        <f>'57'!F33+'57'!J33</f>
        <v>43</v>
      </c>
      <c r="G32" s="141"/>
      <c r="H32" s="31">
        <f>'56'!G32</f>
        <v>1</v>
      </c>
      <c r="I32" s="141"/>
      <c r="J32" s="31">
        <f>'56'!K32</f>
        <v>1</v>
      </c>
      <c r="K32" s="141"/>
      <c r="L32" s="31">
        <f>'59'!G32</f>
        <v>3</v>
      </c>
      <c r="M32" s="141"/>
      <c r="N32" s="31">
        <f>'58'!H32</f>
        <v>1</v>
      </c>
      <c r="O32" s="141"/>
      <c r="P32" s="31">
        <f>'58'!E32</f>
        <v>0</v>
      </c>
      <c r="Q32" s="141"/>
      <c r="R32" s="139">
        <f aca="true" t="shared" si="1" ref="R32:R42">D32+F32+H32+J32+L32+N32+P32</f>
        <v>55</v>
      </c>
      <c r="S32" s="141"/>
    </row>
    <row r="33" spans="1:19" ht="15" customHeight="1">
      <c r="A33" s="138">
        <f>'35'!A50</f>
        <v>6</v>
      </c>
      <c r="B33" s="455" t="str">
        <f>'35'!B50</f>
        <v>Hanua</v>
      </c>
      <c r="C33" s="456"/>
      <c r="D33" s="31">
        <f>'55'!F33</f>
        <v>6</v>
      </c>
      <c r="E33" s="141"/>
      <c r="F33" s="31">
        <f>'57'!F34+'57'!J34</f>
        <v>20</v>
      </c>
      <c r="G33" s="141"/>
      <c r="H33" s="31">
        <f>'56'!G33</f>
        <v>2</v>
      </c>
      <c r="I33" s="141"/>
      <c r="J33" s="31">
        <f>'56'!K33</f>
        <v>2</v>
      </c>
      <c r="K33" s="141"/>
      <c r="L33" s="31">
        <f>'59'!G33</f>
        <v>3</v>
      </c>
      <c r="M33" s="141"/>
      <c r="N33" s="31">
        <f>'58'!H33</f>
        <v>1</v>
      </c>
      <c r="O33" s="141"/>
      <c r="P33" s="31">
        <f>'58'!E33</f>
        <v>1</v>
      </c>
      <c r="Q33" s="141"/>
      <c r="R33" s="139">
        <f t="shared" si="1"/>
        <v>35</v>
      </c>
      <c r="S33" s="141"/>
    </row>
    <row r="34" spans="1:19" ht="15" customHeight="1">
      <c r="A34" s="138">
        <f>'35'!A51</f>
        <v>7</v>
      </c>
      <c r="B34" s="455" t="str">
        <f>'35'!B51</f>
        <v>Kasongan</v>
      </c>
      <c r="C34" s="456"/>
      <c r="D34" s="31">
        <f>'55'!F34</f>
        <v>13</v>
      </c>
      <c r="E34" s="198"/>
      <c r="F34" s="31">
        <f>'57'!F35+'57'!J35</f>
        <v>87</v>
      </c>
      <c r="G34" s="198"/>
      <c r="H34" s="31">
        <f>'56'!G34</f>
        <v>8</v>
      </c>
      <c r="I34" s="198"/>
      <c r="J34" s="31">
        <f>'56'!K34</f>
        <v>4</v>
      </c>
      <c r="K34" s="198"/>
      <c r="L34" s="31">
        <f>'59'!G34</f>
        <v>6</v>
      </c>
      <c r="M34" s="198"/>
      <c r="N34" s="31">
        <f>'58'!H34</f>
        <v>2</v>
      </c>
      <c r="O34" s="198"/>
      <c r="P34" s="31">
        <f>'58'!E34</f>
        <v>4</v>
      </c>
      <c r="Q34" s="198"/>
      <c r="R34" s="31">
        <f t="shared" si="1"/>
        <v>124</v>
      </c>
      <c r="S34" s="198"/>
    </row>
    <row r="35" spans="1:19" ht="15" customHeight="1">
      <c r="A35" s="138">
        <f>'35'!A52</f>
        <v>8</v>
      </c>
      <c r="B35" s="455" t="str">
        <f>'35'!B52</f>
        <v>Dr. Soemarno SA</v>
      </c>
      <c r="C35" s="456"/>
      <c r="D35" s="31">
        <f>'55'!F35</f>
        <v>14</v>
      </c>
      <c r="E35" s="198"/>
      <c r="F35" s="31">
        <f>'57'!F36+'57'!J36</f>
        <v>139</v>
      </c>
      <c r="G35" s="198"/>
      <c r="H35" s="31">
        <f>'56'!G35</f>
        <v>11</v>
      </c>
      <c r="I35" s="198"/>
      <c r="J35" s="31">
        <f>'56'!K35</f>
        <v>5</v>
      </c>
      <c r="K35" s="198"/>
      <c r="L35" s="31">
        <f>'59'!G35</f>
        <v>22</v>
      </c>
      <c r="M35" s="198"/>
      <c r="N35" s="31">
        <f>'58'!H35</f>
        <v>6</v>
      </c>
      <c r="O35" s="198"/>
      <c r="P35" s="31">
        <f>'58'!E35</f>
        <v>4</v>
      </c>
      <c r="Q35" s="198"/>
      <c r="R35" s="31">
        <f t="shared" si="1"/>
        <v>201</v>
      </c>
      <c r="S35" s="198"/>
    </row>
    <row r="36" spans="1:19" ht="15" customHeight="1">
      <c r="A36" s="138">
        <f>'35'!A53</f>
        <v>9</v>
      </c>
      <c r="B36" s="455" t="str">
        <f>'35'!B53</f>
        <v>Pulang Pisau</v>
      </c>
      <c r="C36" s="456"/>
      <c r="D36" s="31">
        <f>'55'!F36</f>
        <v>4</v>
      </c>
      <c r="E36" s="198"/>
      <c r="F36" s="31">
        <f>'57'!F37+'57'!J37</f>
        <v>37</v>
      </c>
      <c r="G36" s="198"/>
      <c r="H36" s="31">
        <f>'56'!G36</f>
        <v>4</v>
      </c>
      <c r="I36" s="198"/>
      <c r="J36" s="31">
        <f>'56'!K36</f>
        <v>3</v>
      </c>
      <c r="K36" s="198"/>
      <c r="L36" s="31">
        <f>'59'!G36</f>
        <v>7</v>
      </c>
      <c r="M36" s="198"/>
      <c r="N36" s="31">
        <f>'58'!H36</f>
        <v>0</v>
      </c>
      <c r="O36" s="198"/>
      <c r="P36" s="31">
        <f>'58'!E36</f>
        <v>0</v>
      </c>
      <c r="Q36" s="198"/>
      <c r="R36" s="31">
        <f t="shared" si="1"/>
        <v>55</v>
      </c>
      <c r="S36" s="198"/>
    </row>
    <row r="37" spans="1:19" ht="15" customHeight="1">
      <c r="A37" s="138">
        <f>'35'!A54</f>
        <v>10</v>
      </c>
      <c r="B37" s="455" t="str">
        <f>'35'!B54</f>
        <v>Kuala Kurun</v>
      </c>
      <c r="C37" s="456"/>
      <c r="D37" s="31">
        <f>'55'!F37</f>
        <v>9</v>
      </c>
      <c r="E37" s="198"/>
      <c r="F37" s="31">
        <f>'57'!F38+'57'!J38</f>
        <v>43</v>
      </c>
      <c r="G37" s="198"/>
      <c r="H37" s="31">
        <f>'56'!G37</f>
        <v>1</v>
      </c>
      <c r="I37" s="198"/>
      <c r="J37" s="31">
        <f>'56'!K37</f>
        <v>4</v>
      </c>
      <c r="K37" s="198"/>
      <c r="L37" s="31">
        <f>'59'!G37</f>
        <v>3</v>
      </c>
      <c r="M37" s="198"/>
      <c r="N37" s="31">
        <f>'58'!H37</f>
        <v>1</v>
      </c>
      <c r="O37" s="198"/>
      <c r="P37" s="31">
        <f>'58'!E37</f>
        <v>0</v>
      </c>
      <c r="Q37" s="198"/>
      <c r="R37" s="31">
        <f t="shared" si="1"/>
        <v>61</v>
      </c>
      <c r="S37" s="198"/>
    </row>
    <row r="38" spans="1:19" ht="15" customHeight="1">
      <c r="A38" s="138">
        <f>'35'!A55</f>
        <v>11</v>
      </c>
      <c r="B38" s="455" t="str">
        <f>'35'!B55</f>
        <v>Buntok</v>
      </c>
      <c r="C38" s="456"/>
      <c r="D38" s="31">
        <f>'55'!F38</f>
        <v>15</v>
      </c>
      <c r="E38" s="198"/>
      <c r="F38" s="31">
        <f>'57'!F39+'57'!J39</f>
        <v>135</v>
      </c>
      <c r="G38" s="198"/>
      <c r="H38" s="31">
        <f>'56'!G38</f>
        <v>3</v>
      </c>
      <c r="I38" s="198"/>
      <c r="J38" s="31">
        <f>'56'!K38</f>
        <v>3</v>
      </c>
      <c r="K38" s="198"/>
      <c r="L38" s="31">
        <f>'59'!G38</f>
        <v>13</v>
      </c>
      <c r="M38" s="198"/>
      <c r="N38" s="31">
        <f>'58'!H38</f>
        <v>6</v>
      </c>
      <c r="O38" s="198"/>
      <c r="P38" s="31">
        <f>'58'!E38</f>
        <v>3</v>
      </c>
      <c r="Q38" s="198"/>
      <c r="R38" s="31">
        <f t="shared" si="1"/>
        <v>178</v>
      </c>
      <c r="S38" s="198"/>
    </row>
    <row r="39" spans="1:19" ht="15" customHeight="1">
      <c r="A39" s="138">
        <f>'35'!A56</f>
        <v>12</v>
      </c>
      <c r="B39" s="455" t="str">
        <f>'35'!B56</f>
        <v>Tamiang Layang</v>
      </c>
      <c r="C39" s="456"/>
      <c r="D39" s="31">
        <f>'55'!F39</f>
        <v>8</v>
      </c>
      <c r="E39" s="198"/>
      <c r="F39" s="31">
        <f>'57'!F40+'57'!J40</f>
        <v>44</v>
      </c>
      <c r="G39" s="198"/>
      <c r="H39" s="31">
        <f>'56'!G39</f>
        <v>3</v>
      </c>
      <c r="I39" s="198"/>
      <c r="J39" s="31">
        <f>'56'!K39</f>
        <v>3</v>
      </c>
      <c r="K39" s="198"/>
      <c r="L39" s="31">
        <f>'59'!G39</f>
        <v>9</v>
      </c>
      <c r="M39" s="198"/>
      <c r="N39" s="31">
        <f>'58'!H39</f>
        <v>2</v>
      </c>
      <c r="O39" s="198"/>
      <c r="P39" s="31">
        <f>'58'!E39</f>
        <v>2</v>
      </c>
      <c r="Q39" s="198"/>
      <c r="R39" s="31">
        <f t="shared" si="1"/>
        <v>71</v>
      </c>
      <c r="S39" s="198"/>
    </row>
    <row r="40" spans="1:19" ht="15" customHeight="1">
      <c r="A40" s="138">
        <f>'35'!A57</f>
        <v>13</v>
      </c>
      <c r="B40" s="455" t="str">
        <f>'35'!B57</f>
        <v>Muara Teweh</v>
      </c>
      <c r="C40" s="456"/>
      <c r="D40" s="31">
        <f>'55'!F40</f>
        <v>12</v>
      </c>
      <c r="E40" s="198"/>
      <c r="F40" s="31">
        <f>'57'!F41+'57'!J41</f>
        <v>81</v>
      </c>
      <c r="G40" s="198"/>
      <c r="H40" s="31">
        <f>'56'!G40</f>
        <v>4</v>
      </c>
      <c r="I40" s="198"/>
      <c r="J40" s="31">
        <f>'56'!K40</f>
        <v>0</v>
      </c>
      <c r="K40" s="198"/>
      <c r="L40" s="31">
        <f>'59'!G40</f>
        <v>12</v>
      </c>
      <c r="M40" s="198"/>
      <c r="N40" s="31">
        <f>'58'!H40</f>
        <v>0</v>
      </c>
      <c r="O40" s="198"/>
      <c r="P40" s="31">
        <f>'58'!E40</f>
        <v>6</v>
      </c>
      <c r="Q40" s="198"/>
      <c r="R40" s="31">
        <f t="shared" si="1"/>
        <v>115</v>
      </c>
      <c r="S40" s="198"/>
    </row>
    <row r="41" spans="1:19" ht="15" customHeight="1">
      <c r="A41" s="138">
        <f>'35'!A58</f>
        <v>14</v>
      </c>
      <c r="B41" s="455" t="str">
        <f>'35'!B58</f>
        <v>Puruk Cahu</v>
      </c>
      <c r="C41" s="456"/>
      <c r="D41" s="31">
        <f>'55'!F41</f>
        <v>10</v>
      </c>
      <c r="E41" s="198"/>
      <c r="F41" s="31">
        <f>'57'!F42+'57'!J42</f>
        <v>69</v>
      </c>
      <c r="G41" s="198"/>
      <c r="H41" s="31">
        <f>'56'!G41</f>
        <v>6</v>
      </c>
      <c r="I41" s="198"/>
      <c r="J41" s="31">
        <f>'56'!K41</f>
        <v>2</v>
      </c>
      <c r="K41" s="198"/>
      <c r="L41" s="31">
        <f>'59'!G41</f>
        <v>6</v>
      </c>
      <c r="M41" s="198"/>
      <c r="N41" s="31">
        <f>'58'!H41</f>
        <v>3</v>
      </c>
      <c r="O41" s="198"/>
      <c r="P41" s="31">
        <f>'58'!E41</f>
        <v>0</v>
      </c>
      <c r="Q41" s="198"/>
      <c r="R41" s="31">
        <f t="shared" si="1"/>
        <v>96</v>
      </c>
      <c r="S41" s="198"/>
    </row>
    <row r="42" spans="1:19" ht="15" customHeight="1">
      <c r="A42" s="138">
        <f>'35'!A59</f>
        <v>15</v>
      </c>
      <c r="B42" s="455" t="str">
        <f>'35'!B59</f>
        <v>Dr. Doris Sylvanus</v>
      </c>
      <c r="C42" s="456"/>
      <c r="D42" s="31">
        <f>'55'!F42</f>
        <v>55</v>
      </c>
      <c r="E42" s="198"/>
      <c r="F42" s="31">
        <f>'57'!F43+'57'!J43</f>
        <v>333</v>
      </c>
      <c r="G42" s="198"/>
      <c r="H42" s="31">
        <f>'56'!G42</f>
        <v>21</v>
      </c>
      <c r="I42" s="198"/>
      <c r="J42" s="31">
        <f>'56'!K42</f>
        <v>17</v>
      </c>
      <c r="K42" s="198"/>
      <c r="L42" s="31">
        <f>'59'!G42</f>
        <v>26</v>
      </c>
      <c r="M42" s="198"/>
      <c r="N42" s="31">
        <f>'58'!H42</f>
        <v>19</v>
      </c>
      <c r="O42" s="198"/>
      <c r="P42" s="31">
        <f>'58'!E42</f>
        <v>6</v>
      </c>
      <c r="Q42" s="198"/>
      <c r="R42" s="31">
        <f t="shared" si="1"/>
        <v>477</v>
      </c>
      <c r="S42" s="198"/>
    </row>
    <row r="43" spans="1:19" ht="15" customHeight="1">
      <c r="A43" s="138"/>
      <c r="B43" s="455"/>
      <c r="C43" s="456"/>
      <c r="D43" s="31"/>
      <c r="E43" s="198"/>
      <c r="F43" s="31"/>
      <c r="G43" s="198"/>
      <c r="H43" s="31"/>
      <c r="I43" s="198"/>
      <c r="J43" s="31"/>
      <c r="K43" s="198"/>
      <c r="L43" s="31"/>
      <c r="M43" s="198"/>
      <c r="N43" s="31"/>
      <c r="O43" s="198"/>
      <c r="P43" s="31"/>
      <c r="Q43" s="198"/>
      <c r="R43" s="31"/>
      <c r="S43" s="198"/>
    </row>
    <row r="44" spans="1:19" ht="9" customHeight="1">
      <c r="A44" s="158"/>
      <c r="B44" s="34"/>
      <c r="C44" s="99"/>
      <c r="D44" s="36"/>
      <c r="E44" s="199"/>
      <c r="F44" s="36"/>
      <c r="G44" s="199"/>
      <c r="H44" s="36"/>
      <c r="I44" s="199"/>
      <c r="J44" s="36"/>
      <c r="K44" s="199"/>
      <c r="L44" s="36"/>
      <c r="M44" s="199"/>
      <c r="N44" s="36"/>
      <c r="O44" s="199"/>
      <c r="P44" s="36"/>
      <c r="Q44" s="199"/>
      <c r="R44" s="36"/>
      <c r="S44" s="199"/>
    </row>
    <row r="45" spans="1:19" ht="27" customHeight="1">
      <c r="A45" s="158">
        <v>3</v>
      </c>
      <c r="B45" s="464" t="s">
        <v>241</v>
      </c>
      <c r="C45" s="99"/>
      <c r="D45" s="36">
        <f>SUM(D46:D49)</f>
        <v>1</v>
      </c>
      <c r="E45" s="199">
        <f>D45/$D$78*100</f>
        <v>0.18115942028985507</v>
      </c>
      <c r="F45" s="36">
        <f>SUM(F46:F49)</f>
        <v>45</v>
      </c>
      <c r="G45" s="199">
        <f>F45/$F$78*100</f>
        <v>0.9725524097687486</v>
      </c>
      <c r="H45" s="36">
        <f>SUM(H46:H49)</f>
        <v>0</v>
      </c>
      <c r="I45" s="199">
        <f>H45/$H$78*100</f>
        <v>0</v>
      </c>
      <c r="J45" s="36">
        <f>SUM(J46:J49)</f>
        <v>7</v>
      </c>
      <c r="K45" s="199">
        <f>J45/$J$78*100</f>
        <v>2.564102564102564</v>
      </c>
      <c r="L45" s="36">
        <f>SUM(L46:L49)</f>
        <v>0</v>
      </c>
      <c r="M45" s="199">
        <f>L45/$L$78*100</f>
        <v>0</v>
      </c>
      <c r="N45" s="36">
        <f>SUM(N46:N49)</f>
        <v>1</v>
      </c>
      <c r="O45" s="199">
        <f>N45/$N$78*100</f>
        <v>0.38910505836575876</v>
      </c>
      <c r="P45" s="36">
        <f>SUM(P46:P49)</f>
        <v>13</v>
      </c>
      <c r="Q45" s="199">
        <f>P45/$P$78*100</f>
        <v>5.394190871369295</v>
      </c>
      <c r="R45" s="36">
        <f>D45+F45+H45+J45+L45+N45+P45</f>
        <v>67</v>
      </c>
      <c r="S45" s="199">
        <f>R45/$R$78*100</f>
        <v>1.032516566497149</v>
      </c>
    </row>
    <row r="46" spans="1:19" ht="15" customHeight="1">
      <c r="A46" s="138">
        <v>1</v>
      </c>
      <c r="B46" s="455" t="s">
        <v>893</v>
      </c>
      <c r="C46" s="98"/>
      <c r="D46" s="31">
        <f>'55'!F48</f>
        <v>0</v>
      </c>
      <c r="E46" s="198"/>
      <c r="F46" s="31">
        <f>'57'!F49+'57'!J49</f>
        <v>9</v>
      </c>
      <c r="G46" s="198"/>
      <c r="H46" s="31">
        <f>'56'!G48</f>
        <v>0</v>
      </c>
      <c r="I46" s="198"/>
      <c r="J46" s="31">
        <f>'56'!K48</f>
        <v>0</v>
      </c>
      <c r="K46" s="198"/>
      <c r="L46" s="31">
        <f>'59'!G48</f>
        <v>0</v>
      </c>
      <c r="M46" s="198"/>
      <c r="N46" s="31">
        <f>'58'!H48</f>
        <v>0</v>
      </c>
      <c r="O46" s="198"/>
      <c r="P46" s="31">
        <f>'58'!E48</f>
        <v>3</v>
      </c>
      <c r="Q46" s="198"/>
      <c r="R46" s="31">
        <f>D46+F46+H46+J46+L46+N46+P46</f>
        <v>12</v>
      </c>
      <c r="S46" s="198"/>
    </row>
    <row r="47" spans="1:19" ht="15" customHeight="1">
      <c r="A47" s="138">
        <v>2</v>
      </c>
      <c r="B47" s="455" t="s">
        <v>894</v>
      </c>
      <c r="C47" s="98"/>
      <c r="D47" s="31">
        <f>'55'!F49</f>
        <v>0</v>
      </c>
      <c r="E47" s="141"/>
      <c r="F47" s="31">
        <f>'57'!F50+'57'!J50</f>
        <v>5</v>
      </c>
      <c r="G47" s="141"/>
      <c r="H47" s="31">
        <f>'56'!G49</f>
        <v>0</v>
      </c>
      <c r="I47" s="141"/>
      <c r="J47" s="31">
        <f>'56'!K49</f>
        <v>0</v>
      </c>
      <c r="K47" s="141"/>
      <c r="L47" s="139">
        <f>'59'!G49</f>
        <v>0</v>
      </c>
      <c r="M47" s="141"/>
      <c r="N47" s="31">
        <f>'58'!H49</f>
        <v>0</v>
      </c>
      <c r="O47" s="141"/>
      <c r="P47" s="31">
        <f>'58'!E49</f>
        <v>2</v>
      </c>
      <c r="Q47" s="141"/>
      <c r="R47" s="31">
        <f>D47+F47+H47+J47+L47+N47+P47</f>
        <v>7</v>
      </c>
      <c r="S47" s="141"/>
    </row>
    <row r="48" spans="1:19" ht="15" customHeight="1">
      <c r="A48" s="138">
        <v>3</v>
      </c>
      <c r="B48" s="455" t="s">
        <v>948</v>
      </c>
      <c r="C48" s="98"/>
      <c r="D48" s="31">
        <f>'55'!F50</f>
        <v>0</v>
      </c>
      <c r="E48" s="198"/>
      <c r="F48" s="31">
        <f>'57'!F51+'57'!J51</f>
        <v>31</v>
      </c>
      <c r="G48" s="198"/>
      <c r="H48" s="31">
        <f>'56'!G50</f>
        <v>0</v>
      </c>
      <c r="I48" s="198"/>
      <c r="J48" s="31">
        <f>'56'!K50</f>
        <v>6</v>
      </c>
      <c r="K48" s="198"/>
      <c r="L48" s="139">
        <f>'59'!G50</f>
        <v>0</v>
      </c>
      <c r="M48" s="198"/>
      <c r="N48" s="31">
        <f>'58'!H50</f>
        <v>0</v>
      </c>
      <c r="O48" s="198"/>
      <c r="P48" s="31">
        <f>'58'!E50</f>
        <v>6</v>
      </c>
      <c r="Q48" s="198"/>
      <c r="R48" s="31"/>
      <c r="S48" s="198"/>
    </row>
    <row r="49" spans="1:19" ht="15" customHeight="1">
      <c r="A49" s="138">
        <v>4</v>
      </c>
      <c r="B49" s="455" t="s">
        <v>895</v>
      </c>
      <c r="C49" s="98"/>
      <c r="D49" s="31">
        <f>'55'!F51</f>
        <v>1</v>
      </c>
      <c r="E49" s="198"/>
      <c r="F49" s="31">
        <f>'57'!F52+'57'!J52</f>
        <v>0</v>
      </c>
      <c r="G49" s="198"/>
      <c r="H49" s="31">
        <f>'56'!G51</f>
        <v>0</v>
      </c>
      <c r="I49" s="198"/>
      <c r="J49" s="31">
        <f>'56'!K51</f>
        <v>1</v>
      </c>
      <c r="K49" s="198"/>
      <c r="L49" s="139">
        <f>'59'!G51</f>
        <v>0</v>
      </c>
      <c r="M49" s="198"/>
      <c r="N49" s="31">
        <f>'58'!H51</f>
        <v>1</v>
      </c>
      <c r="O49" s="198"/>
      <c r="P49" s="31">
        <f>'58'!E51</f>
        <v>2</v>
      </c>
      <c r="Q49" s="198"/>
      <c r="R49" s="31"/>
      <c r="S49" s="198"/>
    </row>
    <row r="50" spans="1:19" ht="15">
      <c r="A50" s="158"/>
      <c r="B50" s="34" t="s">
        <v>1</v>
      </c>
      <c r="C50" s="99"/>
      <c r="D50" s="36"/>
      <c r="E50" s="199"/>
      <c r="F50" s="36"/>
      <c r="G50" s="199"/>
      <c r="H50" s="36"/>
      <c r="I50" s="199"/>
      <c r="J50" s="36"/>
      <c r="K50" s="199"/>
      <c r="L50" s="36"/>
      <c r="M50" s="199"/>
      <c r="N50" s="36"/>
      <c r="O50" s="199"/>
      <c r="P50" s="36"/>
      <c r="Q50" s="199"/>
      <c r="R50" s="36"/>
      <c r="S50" s="199"/>
    </row>
    <row r="51" spans="1:19" ht="24" customHeight="1">
      <c r="A51" s="158">
        <v>4</v>
      </c>
      <c r="B51" s="34" t="s">
        <v>65</v>
      </c>
      <c r="C51" s="99"/>
      <c r="D51" s="36">
        <f>SUM(D52:D59)</f>
        <v>12</v>
      </c>
      <c r="E51" s="199">
        <f>D51/$D$78*100</f>
        <v>2.1739130434782608</v>
      </c>
      <c r="F51" s="36">
        <f>SUM(F52:F59)</f>
        <v>23</v>
      </c>
      <c r="G51" s="199">
        <f>F51/$F$78*100</f>
        <v>0.49708234277069374</v>
      </c>
      <c r="H51" s="36">
        <f>SUM(H52:H59)</f>
        <v>46</v>
      </c>
      <c r="I51" s="199">
        <f>H51/$H$78*100</f>
        <v>17.760617760617762</v>
      </c>
      <c r="J51" s="36">
        <f>SUM(J52:J59)</f>
        <v>0</v>
      </c>
      <c r="K51" s="199">
        <f>J51/$J$78*100</f>
        <v>0</v>
      </c>
      <c r="L51" s="36">
        <f>SUM(L52:L59)</f>
        <v>33</v>
      </c>
      <c r="M51" s="199">
        <f>L51/$L$78*100</f>
        <v>11.785714285714285</v>
      </c>
      <c r="N51" s="36">
        <f>SUM(N52:N59)</f>
        <v>14</v>
      </c>
      <c r="O51" s="199">
        <f>N51/$N$78*100</f>
        <v>5.447470817120623</v>
      </c>
      <c r="P51" s="36">
        <f>SUM(P52:P59)</f>
        <v>9</v>
      </c>
      <c r="Q51" s="199">
        <f>P51/$P$78*100</f>
        <v>3.7344398340248963</v>
      </c>
      <c r="R51" s="36">
        <f>D51+F51+H51+J51+L51+N51+P51</f>
        <v>137</v>
      </c>
      <c r="S51" s="199">
        <f>R51/$R$78*100</f>
        <v>2.1112652180613347</v>
      </c>
    </row>
    <row r="52" spans="1:19" ht="15" customHeight="1">
      <c r="A52" s="138">
        <v>1</v>
      </c>
      <c r="B52" s="33" t="s">
        <v>896</v>
      </c>
      <c r="C52" s="98"/>
      <c r="D52" s="139">
        <f>'55'!F54</f>
        <v>2</v>
      </c>
      <c r="E52" s="141"/>
      <c r="F52" s="139">
        <f>'57'!F55+'57'!J55</f>
        <v>5</v>
      </c>
      <c r="G52" s="141"/>
      <c r="H52" s="139">
        <f>'56'!G54</f>
        <v>0</v>
      </c>
      <c r="I52" s="141"/>
      <c r="J52" s="139">
        <f>'56'!K54</f>
        <v>0</v>
      </c>
      <c r="K52" s="141"/>
      <c r="L52" s="139">
        <f>'59'!G54</f>
        <v>0</v>
      </c>
      <c r="M52" s="141"/>
      <c r="N52" s="139">
        <f>'58'!H54</f>
        <v>5</v>
      </c>
      <c r="O52" s="141"/>
      <c r="P52" s="139">
        <f>'58'!E54</f>
        <v>2</v>
      </c>
      <c r="Q52" s="141"/>
      <c r="R52" s="139"/>
      <c r="S52" s="141"/>
    </row>
    <row r="53" spans="1:19" ht="15" customHeight="1">
      <c r="A53" s="138">
        <v>2</v>
      </c>
      <c r="B53" s="33" t="s">
        <v>897</v>
      </c>
      <c r="C53" s="98"/>
      <c r="D53" s="139">
        <f>'55'!F55</f>
        <v>0</v>
      </c>
      <c r="E53" s="141"/>
      <c r="F53" s="139">
        <f>'57'!F56+'57'!J56</f>
        <v>0</v>
      </c>
      <c r="G53" s="141"/>
      <c r="H53" s="139">
        <f>'56'!G55</f>
        <v>0</v>
      </c>
      <c r="I53" s="141"/>
      <c r="J53" s="139">
        <f>'56'!K55</f>
        <v>0</v>
      </c>
      <c r="K53" s="141"/>
      <c r="L53" s="139">
        <f>'59'!G55</f>
        <v>0</v>
      </c>
      <c r="M53" s="141"/>
      <c r="N53" s="139">
        <f>'58'!H55</f>
        <v>5</v>
      </c>
      <c r="O53" s="141"/>
      <c r="P53" s="139">
        <f>'58'!E55</f>
        <v>5</v>
      </c>
      <c r="Q53" s="141"/>
      <c r="R53" s="139">
        <f>D53+F53+H53+J53+L53+N53+P53</f>
        <v>10</v>
      </c>
      <c r="S53" s="141"/>
    </row>
    <row r="54" spans="1:19" ht="15" customHeight="1">
      <c r="A54" s="138">
        <v>3</v>
      </c>
      <c r="B54" s="33" t="s">
        <v>588</v>
      </c>
      <c r="C54" s="98"/>
      <c r="D54" s="139">
        <f>'55'!F56</f>
        <v>1</v>
      </c>
      <c r="E54" s="141"/>
      <c r="F54" s="139">
        <f>'57'!F57+'57'!J57</f>
        <v>2</v>
      </c>
      <c r="G54" s="141"/>
      <c r="H54" s="139">
        <f>'56'!G56</f>
        <v>6</v>
      </c>
      <c r="I54" s="141"/>
      <c r="J54" s="139">
        <f>'56'!K56</f>
        <v>0</v>
      </c>
      <c r="K54" s="141"/>
      <c r="L54" s="139">
        <f>'59'!G56</f>
        <v>2</v>
      </c>
      <c r="M54" s="141"/>
      <c r="N54" s="139">
        <f>'58'!H56</f>
        <v>1</v>
      </c>
      <c r="O54" s="141"/>
      <c r="P54" s="139">
        <f>'58'!E56</f>
        <v>2</v>
      </c>
      <c r="Q54" s="141"/>
      <c r="R54" s="139">
        <f>D54+F54+H54+J54+L54+N54+P54</f>
        <v>14</v>
      </c>
      <c r="S54" s="141"/>
    </row>
    <row r="55" spans="1:19" ht="15" customHeight="1">
      <c r="A55" s="138">
        <v>4</v>
      </c>
      <c r="B55" s="522" t="s">
        <v>589</v>
      </c>
      <c r="C55" s="227"/>
      <c r="D55" s="139">
        <f>'55'!F57</f>
        <v>0</v>
      </c>
      <c r="E55" s="141"/>
      <c r="F55" s="139">
        <f>'57'!F58+'57'!J58</f>
        <v>0</v>
      </c>
      <c r="G55" s="141"/>
      <c r="H55" s="139">
        <f>'56'!G57</f>
        <v>3</v>
      </c>
      <c r="I55" s="141"/>
      <c r="J55" s="139">
        <f>'56'!K57</f>
        <v>0</v>
      </c>
      <c r="K55" s="141"/>
      <c r="L55" s="31">
        <f>'59'!G57</f>
        <v>1</v>
      </c>
      <c r="M55" s="141"/>
      <c r="N55" s="139">
        <f>'58'!H57</f>
        <v>1</v>
      </c>
      <c r="O55" s="141"/>
      <c r="P55" s="31">
        <f>'58'!E57</f>
        <v>0</v>
      </c>
      <c r="Q55" s="141"/>
      <c r="R55" s="31">
        <f>D55+F55+H55+J55+L55+N55+P55</f>
        <v>5</v>
      </c>
      <c r="S55" s="141"/>
    </row>
    <row r="56" spans="1:19" ht="15" customHeight="1">
      <c r="A56" s="138">
        <v>5</v>
      </c>
      <c r="B56" s="33" t="s">
        <v>898</v>
      </c>
      <c r="C56" s="98"/>
      <c r="D56" s="139">
        <f>'55'!F58</f>
        <v>6</v>
      </c>
      <c r="E56" s="198"/>
      <c r="F56" s="139">
        <f>'57'!F59+'57'!J59</f>
        <v>10</v>
      </c>
      <c r="G56" s="198"/>
      <c r="H56" s="139">
        <f>'56'!G58</f>
        <v>1</v>
      </c>
      <c r="I56" s="198"/>
      <c r="J56" s="139">
        <f>'56'!K58</f>
        <v>0</v>
      </c>
      <c r="K56" s="198"/>
      <c r="L56" s="31">
        <f>'59'!G58</f>
        <v>1</v>
      </c>
      <c r="M56" s="198"/>
      <c r="N56" s="139">
        <f>'58'!H58</f>
        <v>0</v>
      </c>
      <c r="O56" s="198"/>
      <c r="P56" s="31">
        <f>'58'!E58</f>
        <v>0</v>
      </c>
      <c r="Q56" s="198"/>
      <c r="R56" s="31">
        <f>D56+F56+H56+J56+L56+N56+P56</f>
        <v>18</v>
      </c>
      <c r="S56" s="198"/>
    </row>
    <row r="57" spans="1:19" ht="15" customHeight="1">
      <c r="A57" s="138">
        <v>6</v>
      </c>
      <c r="B57" s="33" t="s">
        <v>899</v>
      </c>
      <c r="C57" s="98"/>
      <c r="D57" s="139">
        <f>'55'!F59</f>
        <v>3</v>
      </c>
      <c r="E57" s="198"/>
      <c r="F57" s="139">
        <f>'57'!F60+'57'!J60</f>
        <v>6</v>
      </c>
      <c r="G57" s="198"/>
      <c r="H57" s="139">
        <f>'56'!G59</f>
        <v>2</v>
      </c>
      <c r="I57" s="198"/>
      <c r="J57" s="139">
        <f>'56'!K59</f>
        <v>0</v>
      </c>
      <c r="K57" s="198"/>
      <c r="L57" s="31">
        <f>'59'!G59</f>
        <v>28</v>
      </c>
      <c r="M57" s="198"/>
      <c r="N57" s="139">
        <f>'58'!H59</f>
        <v>1</v>
      </c>
      <c r="O57" s="198"/>
      <c r="P57" s="31">
        <f>'58'!E59</f>
        <v>0</v>
      </c>
      <c r="Q57" s="198"/>
      <c r="R57" s="31"/>
      <c r="S57" s="198"/>
    </row>
    <row r="58" spans="1:19" ht="15" customHeight="1">
      <c r="A58" s="138">
        <v>7</v>
      </c>
      <c r="B58" s="33" t="s">
        <v>949</v>
      </c>
      <c r="C58" s="98"/>
      <c r="D58" s="139">
        <f>'55'!F60</f>
        <v>0</v>
      </c>
      <c r="E58" s="198"/>
      <c r="F58" s="139">
        <f>'57'!F61+'57'!J61</f>
        <v>0</v>
      </c>
      <c r="G58" s="198"/>
      <c r="H58" s="139">
        <f>'56'!G60</f>
        <v>34</v>
      </c>
      <c r="I58" s="198"/>
      <c r="J58" s="139">
        <f>'56'!K60</f>
        <v>0</v>
      </c>
      <c r="K58" s="198"/>
      <c r="L58" s="31">
        <f>'59'!G60</f>
        <v>1</v>
      </c>
      <c r="M58" s="198"/>
      <c r="N58" s="139">
        <f>'58'!H60</f>
        <v>1</v>
      </c>
      <c r="O58" s="198"/>
      <c r="P58" s="31">
        <f>'58'!E60</f>
        <v>0</v>
      </c>
      <c r="Q58" s="198"/>
      <c r="R58" s="31"/>
      <c r="S58" s="198"/>
    </row>
    <row r="59" spans="2:19" ht="15" customHeight="1">
      <c r="B59" s="33" t="s">
        <v>590</v>
      </c>
      <c r="C59" s="98"/>
      <c r="D59" s="139">
        <f>'55'!F62</f>
        <v>0</v>
      </c>
      <c r="E59" s="198"/>
      <c r="F59" s="139">
        <f>'57'!F63+'57'!J63</f>
        <v>0</v>
      </c>
      <c r="G59" s="198"/>
      <c r="H59" s="31">
        <v>0</v>
      </c>
      <c r="I59" s="198"/>
      <c r="J59" s="139">
        <f>'56'!K62</f>
        <v>0</v>
      </c>
      <c r="K59" s="198"/>
      <c r="L59" s="31">
        <f>'59'!G62</f>
        <v>0</v>
      </c>
      <c r="M59" s="198"/>
      <c r="N59" s="139">
        <f>'58'!H62</f>
        <v>0</v>
      </c>
      <c r="O59" s="198"/>
      <c r="P59" s="31">
        <f>'58'!E62</f>
        <v>0</v>
      </c>
      <c r="Q59" s="198"/>
      <c r="R59" s="31">
        <v>10</v>
      </c>
      <c r="S59" s="198"/>
    </row>
    <row r="60" spans="1:19" ht="15">
      <c r="A60" s="158"/>
      <c r="B60" s="34"/>
      <c r="C60" s="99"/>
      <c r="D60" s="36"/>
      <c r="E60" s="199"/>
      <c r="F60" s="36"/>
      <c r="G60" s="199"/>
      <c r="H60" s="36"/>
      <c r="I60" s="199"/>
      <c r="J60" s="36"/>
      <c r="K60" s="199"/>
      <c r="L60" s="36"/>
      <c r="M60" s="199"/>
      <c r="N60" s="36"/>
      <c r="O60" s="199"/>
      <c r="P60" s="36"/>
      <c r="Q60" s="199"/>
      <c r="R60" s="36"/>
      <c r="S60" s="199"/>
    </row>
    <row r="61" spans="1:19" ht="21.75" customHeight="1">
      <c r="A61" s="158">
        <v>5</v>
      </c>
      <c r="B61" s="34" t="s">
        <v>901</v>
      </c>
      <c r="C61" s="99"/>
      <c r="D61" s="36">
        <f>SUM(D62:D76)</f>
        <v>42</v>
      </c>
      <c r="E61" s="199">
        <f>D61/$D$78*100</f>
        <v>7.608695652173914</v>
      </c>
      <c r="F61" s="36">
        <f>SUM(F62:F76)</f>
        <v>148</v>
      </c>
      <c r="G61" s="199">
        <f>F61/$F$78*100</f>
        <v>3.198616814350551</v>
      </c>
      <c r="H61" s="36">
        <f>SUM(H62:H76)</f>
        <v>51</v>
      </c>
      <c r="I61" s="199">
        <f>H61/$H$78*100</f>
        <v>19.69111969111969</v>
      </c>
      <c r="J61" s="36">
        <f>SUM(J62:J76)</f>
        <v>29</v>
      </c>
      <c r="K61" s="199">
        <f>J61/$J$78*100</f>
        <v>10.622710622710622</v>
      </c>
      <c r="L61" s="36">
        <f>SUM(L62:L76)</f>
        <v>15</v>
      </c>
      <c r="M61" s="199">
        <f>L61/$L$78*100</f>
        <v>5.357142857142857</v>
      </c>
      <c r="N61" s="36">
        <f>SUM(N62:N76)</f>
        <v>47</v>
      </c>
      <c r="O61" s="199">
        <f>N61/$N$78*100</f>
        <v>18.28793774319066</v>
      </c>
      <c r="P61" s="36">
        <f>SUM(P62:P76)</f>
        <v>128</v>
      </c>
      <c r="Q61" s="199">
        <f>P61/$P$78*100</f>
        <v>53.11203319502075</v>
      </c>
      <c r="R61" s="36">
        <f>D61+F61+H61+J61+L61+N61+P61</f>
        <v>460</v>
      </c>
      <c r="S61" s="199">
        <f>R61/$R$78*100</f>
        <v>7.088919710278933</v>
      </c>
    </row>
    <row r="62" spans="1:19" ht="15" customHeight="1">
      <c r="A62" s="138">
        <f>'35'!A28</f>
        <v>1</v>
      </c>
      <c r="B62" s="33" t="str">
        <f>'35'!B28</f>
        <v>Kotawaringin Barat</v>
      </c>
      <c r="C62" s="98"/>
      <c r="D62" s="31">
        <f>'55'!F64</f>
        <v>3</v>
      </c>
      <c r="E62" s="198"/>
      <c r="F62" s="31">
        <f>'57'!F65+'57'!J65</f>
        <v>13</v>
      </c>
      <c r="G62" s="198"/>
      <c r="H62" s="31">
        <f>'56'!G64</f>
        <v>1</v>
      </c>
      <c r="I62" s="198"/>
      <c r="J62" s="31">
        <f>'56'!K64</f>
        <v>1</v>
      </c>
      <c r="K62" s="198"/>
      <c r="L62" s="31">
        <f>'59'!G64</f>
        <v>1</v>
      </c>
      <c r="M62" s="198"/>
      <c r="N62" s="31">
        <f>'58'!H64</f>
        <v>2</v>
      </c>
      <c r="O62" s="198"/>
      <c r="P62" s="31">
        <f>'58'!E64</f>
        <v>12</v>
      </c>
      <c r="Q62" s="198"/>
      <c r="R62" s="31">
        <f>D62+F62+H62+J62+L62+N62+P62</f>
        <v>33</v>
      </c>
      <c r="S62" s="198"/>
    </row>
    <row r="63" spans="1:19" ht="15" customHeight="1">
      <c r="A63" s="138">
        <f>'35'!A29</f>
        <v>2</v>
      </c>
      <c r="B63" s="33" t="str">
        <f>'35'!B29</f>
        <v>Lamandau</v>
      </c>
      <c r="C63" s="98"/>
      <c r="D63" s="31">
        <f>'55'!F65</f>
        <v>5</v>
      </c>
      <c r="E63" s="198"/>
      <c r="F63" s="31">
        <f>'57'!F66+'57'!J66</f>
        <v>21</v>
      </c>
      <c r="G63" s="198"/>
      <c r="H63" s="31">
        <f>'56'!G65</f>
        <v>3</v>
      </c>
      <c r="I63" s="198"/>
      <c r="J63" s="31">
        <f>'56'!K65</f>
        <v>2</v>
      </c>
      <c r="K63" s="198"/>
      <c r="L63" s="31">
        <f>'59'!G65</f>
        <v>2</v>
      </c>
      <c r="M63" s="198"/>
      <c r="N63" s="31">
        <f>'58'!H65</f>
        <v>1</v>
      </c>
      <c r="O63" s="198"/>
      <c r="P63" s="31">
        <f>'58'!E65</f>
        <v>6</v>
      </c>
      <c r="Q63" s="198"/>
      <c r="R63" s="31">
        <f>D63+F63+H63+J63+L63+N63+P63</f>
        <v>40</v>
      </c>
      <c r="S63" s="198"/>
    </row>
    <row r="64" spans="1:19" ht="15" customHeight="1">
      <c r="A64" s="138">
        <f>'35'!A30</f>
        <v>3</v>
      </c>
      <c r="B64" s="33" t="str">
        <f>'35'!B30</f>
        <v>Sukamara</v>
      </c>
      <c r="C64" s="98"/>
      <c r="D64" s="31">
        <f>'55'!F66</f>
        <v>2</v>
      </c>
      <c r="E64" s="198"/>
      <c r="F64" s="31">
        <f>'57'!F67+'57'!J67</f>
        <v>10</v>
      </c>
      <c r="G64" s="198"/>
      <c r="H64" s="31">
        <f>'56'!G66</f>
        <v>2</v>
      </c>
      <c r="I64" s="198"/>
      <c r="J64" s="31">
        <f>'56'!K66</f>
        <v>2</v>
      </c>
      <c r="K64" s="198"/>
      <c r="L64" s="31">
        <f>'59'!G66</f>
        <v>0</v>
      </c>
      <c r="M64" s="198"/>
      <c r="N64" s="31">
        <f>'58'!H66</f>
        <v>5</v>
      </c>
      <c r="O64" s="198"/>
      <c r="P64" s="31">
        <f>'58'!E66</f>
        <v>4</v>
      </c>
      <c r="Q64" s="198"/>
      <c r="R64" s="31">
        <f>D64+F64+H64+J64+L64+N64+P64</f>
        <v>25</v>
      </c>
      <c r="S64" s="198"/>
    </row>
    <row r="65" spans="1:19" ht="15" customHeight="1">
      <c r="A65" s="138">
        <f>'35'!A31</f>
        <v>4</v>
      </c>
      <c r="B65" s="33" t="str">
        <f>'35'!B31</f>
        <v>Kotawaringin Timur</v>
      </c>
      <c r="C65" s="98"/>
      <c r="D65" s="31">
        <f>'55'!F67</f>
        <v>3</v>
      </c>
      <c r="E65" s="198"/>
      <c r="F65" s="31">
        <f>'57'!F68+'57'!J68</f>
        <v>9</v>
      </c>
      <c r="G65" s="198"/>
      <c r="H65" s="31">
        <f>'56'!G67</f>
        <v>9</v>
      </c>
      <c r="I65" s="198"/>
      <c r="J65" s="31">
        <f>'56'!K67</f>
        <v>2</v>
      </c>
      <c r="K65" s="198"/>
      <c r="L65" s="31">
        <f>'59'!G67</f>
        <v>3</v>
      </c>
      <c r="M65" s="198"/>
      <c r="N65" s="31">
        <f>'58'!H67</f>
        <v>5</v>
      </c>
      <c r="O65" s="198"/>
      <c r="P65" s="31">
        <f>'58'!E67</f>
        <v>15</v>
      </c>
      <c r="Q65" s="198"/>
      <c r="R65" s="31">
        <f>D65+F65+H65+J65+L65+N65+P65</f>
        <v>46</v>
      </c>
      <c r="S65" s="198"/>
    </row>
    <row r="66" spans="1:19" ht="15" customHeight="1">
      <c r="A66" s="138">
        <f>'35'!A32</f>
        <v>5</v>
      </c>
      <c r="B66" s="33" t="str">
        <f>'35'!B32</f>
        <v>Seruyan</v>
      </c>
      <c r="C66" s="98"/>
      <c r="D66" s="31">
        <f>'55'!F68</f>
        <v>1</v>
      </c>
      <c r="E66" s="198"/>
      <c r="F66" s="31">
        <f>'57'!F69+'57'!J69</f>
        <v>20</v>
      </c>
      <c r="G66" s="198"/>
      <c r="H66" s="31">
        <f>'56'!G68</f>
        <v>2</v>
      </c>
      <c r="I66" s="198"/>
      <c r="J66" s="31">
        <f>'56'!K68</f>
        <v>3</v>
      </c>
      <c r="K66" s="141"/>
      <c r="L66" s="31">
        <f>'59'!G68</f>
        <v>0</v>
      </c>
      <c r="M66" s="141"/>
      <c r="N66" s="31">
        <f>'58'!H68</f>
        <v>6</v>
      </c>
      <c r="O66" s="141"/>
      <c r="P66" s="31">
        <f>'58'!E68</f>
        <v>9</v>
      </c>
      <c r="Q66" s="141"/>
      <c r="R66" s="139">
        <f aca="true" t="shared" si="2" ref="R66:R76">D66+F66+H66+J66+L66+N66+P66</f>
        <v>41</v>
      </c>
      <c r="S66" s="198"/>
    </row>
    <row r="67" spans="1:19" ht="15" customHeight="1">
      <c r="A67" s="138">
        <f>'35'!A33</f>
        <v>6</v>
      </c>
      <c r="B67" s="33" t="str">
        <f>'35'!B33</f>
        <v>Katingan</v>
      </c>
      <c r="C67" s="98"/>
      <c r="D67" s="31">
        <f>'55'!F69</f>
        <v>3</v>
      </c>
      <c r="E67" s="198"/>
      <c r="F67" s="31">
        <f>'57'!F70+'57'!J70</f>
        <v>11</v>
      </c>
      <c r="G67" s="198"/>
      <c r="H67" s="31">
        <f>'56'!G69</f>
        <v>5</v>
      </c>
      <c r="I67" s="198"/>
      <c r="J67" s="31">
        <f>'56'!K69</f>
        <v>1</v>
      </c>
      <c r="K67" s="198"/>
      <c r="L67" s="31">
        <f>'59'!G69</f>
        <v>1</v>
      </c>
      <c r="M67" s="198"/>
      <c r="N67" s="31">
        <f>'58'!H69</f>
        <v>2</v>
      </c>
      <c r="O67" s="198"/>
      <c r="P67" s="31">
        <f>'58'!E69</f>
        <v>8</v>
      </c>
      <c r="Q67" s="198"/>
      <c r="R67" s="31">
        <f t="shared" si="2"/>
        <v>31</v>
      </c>
      <c r="S67" s="198"/>
    </row>
    <row r="68" spans="1:19" ht="15" customHeight="1">
      <c r="A68" s="138">
        <f>'35'!A34</f>
        <v>7</v>
      </c>
      <c r="B68" s="33" t="str">
        <f>'35'!B34</f>
        <v>Kapuas</v>
      </c>
      <c r="C68" s="98"/>
      <c r="D68" s="31">
        <f>'55'!F70</f>
        <v>1</v>
      </c>
      <c r="E68" s="198"/>
      <c r="F68" s="31">
        <f>'57'!F71+'57'!J71</f>
        <v>4</v>
      </c>
      <c r="G68" s="198"/>
      <c r="H68" s="31">
        <f>'56'!G70</f>
        <v>0</v>
      </c>
      <c r="I68" s="198"/>
      <c r="J68" s="31">
        <f>'56'!K70</f>
        <v>5</v>
      </c>
      <c r="K68" s="198"/>
      <c r="L68" s="31">
        <f>'59'!G70</f>
        <v>0</v>
      </c>
      <c r="M68" s="198"/>
      <c r="N68" s="31">
        <f>'58'!H70</f>
        <v>8</v>
      </c>
      <c r="O68" s="198"/>
      <c r="P68" s="31">
        <f>'58'!E70</f>
        <v>19</v>
      </c>
      <c r="Q68" s="198"/>
      <c r="R68" s="31">
        <f t="shared" si="2"/>
        <v>37</v>
      </c>
      <c r="S68" s="198"/>
    </row>
    <row r="69" spans="1:19" ht="15" customHeight="1">
      <c r="A69" s="138">
        <f>'35'!A35</f>
        <v>8</v>
      </c>
      <c r="B69" s="33" t="str">
        <f>'35'!B35</f>
        <v>Pulang Pisau</v>
      </c>
      <c r="C69" s="98"/>
      <c r="D69" s="31">
        <f>'55'!F71</f>
        <v>4</v>
      </c>
      <c r="E69" s="198"/>
      <c r="F69" s="31">
        <f>'57'!F72+'57'!J72</f>
        <v>1</v>
      </c>
      <c r="G69" s="198"/>
      <c r="H69" s="31">
        <f>'56'!G71</f>
        <v>1</v>
      </c>
      <c r="I69" s="198"/>
      <c r="J69" s="31">
        <f>'56'!K71</f>
        <v>2</v>
      </c>
      <c r="K69" s="198"/>
      <c r="L69" s="31">
        <f>'59'!G71</f>
        <v>2</v>
      </c>
      <c r="M69" s="141"/>
      <c r="N69" s="31">
        <f>'58'!H71</f>
        <v>4</v>
      </c>
      <c r="O69" s="141"/>
      <c r="P69" s="31">
        <f>'58'!E71</f>
        <v>3</v>
      </c>
      <c r="Q69" s="141"/>
      <c r="R69" s="31">
        <f t="shared" si="2"/>
        <v>17</v>
      </c>
      <c r="S69" s="198"/>
    </row>
    <row r="70" spans="1:19" ht="15" customHeight="1">
      <c r="A70" s="138">
        <f>'35'!A36</f>
        <v>9</v>
      </c>
      <c r="B70" s="33" t="str">
        <f>'35'!B36</f>
        <v>Gunung Mas</v>
      </c>
      <c r="C70" s="98"/>
      <c r="D70" s="31">
        <f>'55'!F72</f>
        <v>1</v>
      </c>
      <c r="E70" s="198"/>
      <c r="F70" s="31">
        <f>'57'!F73+'57'!J73</f>
        <v>8</v>
      </c>
      <c r="G70" s="198"/>
      <c r="H70" s="31">
        <f>'56'!G72</f>
        <v>3</v>
      </c>
      <c r="I70" s="198"/>
      <c r="J70" s="31">
        <f>'56'!K72</f>
        <v>1</v>
      </c>
      <c r="K70" s="198"/>
      <c r="L70" s="31">
        <f>'59'!G72</f>
        <v>0</v>
      </c>
      <c r="M70" s="198"/>
      <c r="N70" s="31">
        <f>'58'!H72</f>
        <v>0</v>
      </c>
      <c r="O70" s="198"/>
      <c r="P70" s="31">
        <f>'58'!E72</f>
        <v>2</v>
      </c>
      <c r="Q70" s="198"/>
      <c r="R70" s="31">
        <f t="shared" si="2"/>
        <v>15</v>
      </c>
      <c r="S70" s="198"/>
    </row>
    <row r="71" spans="1:19" ht="15" customHeight="1">
      <c r="A71" s="138">
        <f>'35'!A37</f>
        <v>10</v>
      </c>
      <c r="B71" s="33" t="str">
        <f>'35'!B37</f>
        <v>Barito Selatan</v>
      </c>
      <c r="C71" s="98"/>
      <c r="D71" s="31">
        <f>'55'!F73</f>
        <v>7</v>
      </c>
      <c r="E71" s="198"/>
      <c r="F71" s="31">
        <f>'57'!F74+'57'!J74</f>
        <v>12</v>
      </c>
      <c r="G71" s="198"/>
      <c r="H71" s="31">
        <f>'56'!G73</f>
        <v>5</v>
      </c>
      <c r="I71" s="198"/>
      <c r="J71" s="31">
        <f>'56'!K73</f>
        <v>3</v>
      </c>
      <c r="K71" s="198"/>
      <c r="L71" s="31">
        <f>'59'!G73</f>
        <v>0</v>
      </c>
      <c r="M71" s="198"/>
      <c r="N71" s="31">
        <f>'58'!H73</f>
        <v>5</v>
      </c>
      <c r="O71" s="198"/>
      <c r="P71" s="31">
        <f>'58'!E73</f>
        <v>9</v>
      </c>
      <c r="Q71" s="198"/>
      <c r="R71" s="31">
        <f t="shared" si="2"/>
        <v>41</v>
      </c>
      <c r="S71" s="198"/>
    </row>
    <row r="72" spans="1:19" ht="15" customHeight="1">
      <c r="A72" s="138">
        <f>'35'!A38</f>
        <v>11</v>
      </c>
      <c r="B72" s="33" t="str">
        <f>'35'!B38</f>
        <v>Barito Timur</v>
      </c>
      <c r="C72" s="98"/>
      <c r="D72" s="31">
        <f>'55'!F74</f>
        <v>0</v>
      </c>
      <c r="E72" s="198"/>
      <c r="F72" s="31">
        <f>'57'!F75+'57'!J75</f>
        <v>4</v>
      </c>
      <c r="G72" s="198"/>
      <c r="H72" s="31">
        <f>'56'!G74</f>
        <v>2</v>
      </c>
      <c r="I72" s="198"/>
      <c r="J72" s="31">
        <f>'56'!K74</f>
        <v>2</v>
      </c>
      <c r="K72" s="198"/>
      <c r="L72" s="31">
        <f>'59'!G74</f>
        <v>2</v>
      </c>
      <c r="M72" s="198"/>
      <c r="N72" s="31">
        <f>'58'!H74</f>
        <v>3</v>
      </c>
      <c r="O72" s="198"/>
      <c r="P72" s="31">
        <f>'58'!E74</f>
        <v>2</v>
      </c>
      <c r="Q72" s="198"/>
      <c r="R72" s="31">
        <f t="shared" si="2"/>
        <v>15</v>
      </c>
      <c r="S72" s="198"/>
    </row>
    <row r="73" spans="1:19" ht="15" customHeight="1">
      <c r="A73" s="138">
        <f>'35'!A39</f>
        <v>12</v>
      </c>
      <c r="B73" s="33" t="str">
        <f>'35'!B39</f>
        <v>Barito Utara</v>
      </c>
      <c r="C73" s="98"/>
      <c r="D73" s="31">
        <f>'55'!F75</f>
        <v>2</v>
      </c>
      <c r="E73" s="198"/>
      <c r="F73" s="31">
        <f>'57'!F76+'57'!J76</f>
        <v>6</v>
      </c>
      <c r="G73" s="198"/>
      <c r="H73" s="31">
        <f>'56'!G75</f>
        <v>2</v>
      </c>
      <c r="I73" s="198"/>
      <c r="J73" s="31">
        <f>'56'!K75</f>
        <v>1</v>
      </c>
      <c r="K73" s="198"/>
      <c r="L73" s="31">
        <f>'59'!G75</f>
        <v>1</v>
      </c>
      <c r="M73" s="198"/>
      <c r="N73" s="31">
        <f>'58'!H75</f>
        <v>3</v>
      </c>
      <c r="O73" s="198"/>
      <c r="P73" s="31">
        <f>'58'!E75</f>
        <v>9</v>
      </c>
      <c r="Q73" s="198"/>
      <c r="R73" s="31">
        <f t="shared" si="2"/>
        <v>24</v>
      </c>
      <c r="S73" s="198"/>
    </row>
    <row r="74" spans="1:19" ht="15" customHeight="1">
      <c r="A74" s="138">
        <f>'35'!A40</f>
        <v>13</v>
      </c>
      <c r="B74" s="33" t="str">
        <f>'35'!B40</f>
        <v>Murung Raya</v>
      </c>
      <c r="C74" s="98"/>
      <c r="D74" s="31">
        <f>'55'!F76</f>
        <v>1</v>
      </c>
      <c r="E74" s="198"/>
      <c r="F74" s="31">
        <f>'57'!F77+'57'!J77</f>
        <v>5</v>
      </c>
      <c r="G74" s="198"/>
      <c r="H74" s="31">
        <f>'56'!G76</f>
        <v>2</v>
      </c>
      <c r="I74" s="198"/>
      <c r="J74" s="31">
        <f>'56'!K76</f>
        <v>1</v>
      </c>
      <c r="K74" s="198"/>
      <c r="L74" s="31">
        <f>'59'!G76</f>
        <v>1</v>
      </c>
      <c r="M74" s="198"/>
      <c r="N74" s="31">
        <f>'58'!H76</f>
        <v>1</v>
      </c>
      <c r="O74" s="198"/>
      <c r="P74" s="31">
        <f>'58'!E76</f>
        <v>9</v>
      </c>
      <c r="Q74" s="198"/>
      <c r="R74" s="31">
        <f t="shared" si="2"/>
        <v>20</v>
      </c>
      <c r="S74" s="198"/>
    </row>
    <row r="75" spans="1:19" ht="15" customHeight="1">
      <c r="A75" s="138">
        <f>'35'!A41</f>
        <v>14</v>
      </c>
      <c r="B75" s="33" t="str">
        <f>'35'!B41</f>
        <v>Palangka Raya</v>
      </c>
      <c r="C75" s="98"/>
      <c r="D75" s="31">
        <f>'55'!F77</f>
        <v>2</v>
      </c>
      <c r="E75" s="198"/>
      <c r="F75" s="31">
        <f>'57'!F78+'57'!J78</f>
        <v>7</v>
      </c>
      <c r="G75" s="198"/>
      <c r="H75" s="31">
        <f>'56'!G77</f>
        <v>9</v>
      </c>
      <c r="I75" s="198"/>
      <c r="J75" s="31">
        <f>'56'!K77</f>
        <v>1</v>
      </c>
      <c r="K75" s="198"/>
      <c r="L75" s="31">
        <f>'59'!G77</f>
        <v>2</v>
      </c>
      <c r="M75" s="198"/>
      <c r="N75" s="31">
        <f>'58'!H77</f>
        <v>2</v>
      </c>
      <c r="O75" s="198"/>
      <c r="P75" s="31">
        <f>'58'!E77</f>
        <v>13</v>
      </c>
      <c r="Q75" s="198"/>
      <c r="R75" s="31">
        <f t="shared" si="2"/>
        <v>36</v>
      </c>
      <c r="S75" s="198"/>
    </row>
    <row r="76" spans="1:19" ht="15" customHeight="1">
      <c r="A76" s="138">
        <v>15</v>
      </c>
      <c r="B76" s="33" t="s">
        <v>902</v>
      </c>
      <c r="C76" s="98"/>
      <c r="D76" s="31">
        <f>'55'!F78</f>
        <v>7</v>
      </c>
      <c r="E76" s="198"/>
      <c r="F76" s="31">
        <f>'57'!F79+'57'!J79</f>
        <v>17</v>
      </c>
      <c r="G76" s="198"/>
      <c r="H76" s="31">
        <f>'56'!G78</f>
        <v>5</v>
      </c>
      <c r="I76" s="198"/>
      <c r="J76" s="31">
        <f>'56'!K78</f>
        <v>2</v>
      </c>
      <c r="K76" s="198"/>
      <c r="L76" s="31">
        <f>'59'!G78</f>
        <v>0</v>
      </c>
      <c r="M76" s="198"/>
      <c r="N76" s="31">
        <f>'58'!H78</f>
        <v>0</v>
      </c>
      <c r="O76" s="198"/>
      <c r="P76" s="31">
        <f>'58'!E78</f>
        <v>8</v>
      </c>
      <c r="Q76" s="198"/>
      <c r="R76" s="31">
        <f t="shared" si="2"/>
        <v>39</v>
      </c>
      <c r="S76" s="198"/>
    </row>
    <row r="77" spans="1:19" ht="15">
      <c r="A77" s="138"/>
      <c r="B77" s="33"/>
      <c r="C77" s="98"/>
      <c r="D77" s="31"/>
      <c r="E77" s="199"/>
      <c r="F77" s="36"/>
      <c r="G77" s="199"/>
      <c r="H77" s="36"/>
      <c r="I77" s="199"/>
      <c r="J77" s="36"/>
      <c r="K77" s="199"/>
      <c r="L77" s="36"/>
      <c r="M77" s="199"/>
      <c r="N77" s="36"/>
      <c r="O77" s="199"/>
      <c r="P77" s="36"/>
      <c r="Q77" s="199"/>
      <c r="R77" s="31"/>
      <c r="S77" s="198"/>
    </row>
    <row r="78" spans="1:19" ht="28.5" customHeight="1" thickBot="1">
      <c r="A78" s="148" t="s">
        <v>21</v>
      </c>
      <c r="B78" s="69"/>
      <c r="C78" s="121"/>
      <c r="D78" s="41">
        <f>D11+D27+D45+D51+D61</f>
        <v>552</v>
      </c>
      <c r="E78" s="216">
        <f>D78/$D$78*100</f>
        <v>100</v>
      </c>
      <c r="F78" s="212">
        <f>F11+F27+F45+F51+F61</f>
        <v>4627</v>
      </c>
      <c r="G78" s="216">
        <f>F78/$D$78*100</f>
        <v>838.2246376811594</v>
      </c>
      <c r="H78" s="212">
        <f>H11+H27+H45+H51+H61</f>
        <v>259</v>
      </c>
      <c r="I78" s="216">
        <f>H78/$D$78*100</f>
        <v>46.92028985507246</v>
      </c>
      <c r="J78" s="212">
        <f>J11+J27+J45+J51+J61</f>
        <v>273</v>
      </c>
      <c r="K78" s="216">
        <f>J78/$D$78*100</f>
        <v>49.45652173913043</v>
      </c>
      <c r="L78" s="212">
        <f>L11+L27+L45+L51+L61</f>
        <v>280</v>
      </c>
      <c r="M78" s="216">
        <f>L78/$D$78*100</f>
        <v>50.72463768115942</v>
      </c>
      <c r="N78" s="212">
        <f>N11+N27+N45+N51+N61</f>
        <v>257</v>
      </c>
      <c r="O78" s="216">
        <f>N78/$D$78*100</f>
        <v>46.55797101449276</v>
      </c>
      <c r="P78" s="212">
        <f>P11+P27+P45+P51+P61</f>
        <v>241</v>
      </c>
      <c r="Q78" s="216">
        <f>P78/$D$78*100</f>
        <v>43.65942028985507</v>
      </c>
      <c r="R78" s="41">
        <f>R11+R27+R45+R51+R61</f>
        <v>6489</v>
      </c>
      <c r="S78" s="41">
        <v>100</v>
      </c>
    </row>
    <row r="79" spans="1:19" ht="15">
      <c r="A79" s="133" t="s">
        <v>957</v>
      </c>
      <c r="S79" s="511"/>
    </row>
    <row r="80" spans="2:19" ht="15">
      <c r="B80" s="14" t="s">
        <v>958</v>
      </c>
      <c r="S80" s="511"/>
    </row>
    <row r="81" spans="2:19" ht="15">
      <c r="B81" s="14" t="s">
        <v>961</v>
      </c>
      <c r="S81" s="511"/>
    </row>
    <row r="82" spans="2:19" ht="15">
      <c r="B82" s="14" t="s">
        <v>960</v>
      </c>
      <c r="S82" s="511"/>
    </row>
    <row r="83" spans="2:19" ht="15">
      <c r="B83" s="14" t="s">
        <v>959</v>
      </c>
      <c r="S83" s="511"/>
    </row>
    <row r="84" ht="15">
      <c r="A84" s="133" t="s">
        <v>14</v>
      </c>
    </row>
    <row r="85" spans="2:11" ht="15">
      <c r="B85" s="14" t="s">
        <v>67</v>
      </c>
      <c r="C85" s="14" t="s">
        <v>68</v>
      </c>
      <c r="H85" s="14" t="s">
        <v>69</v>
      </c>
      <c r="K85" s="14" t="s">
        <v>70</v>
      </c>
    </row>
    <row r="86" spans="2:11" ht="15">
      <c r="B86" s="14" t="s">
        <v>296</v>
      </c>
      <c r="C86" s="14" t="s">
        <v>72</v>
      </c>
      <c r="H86" s="14" t="s">
        <v>73</v>
      </c>
      <c r="K86" s="14" t="s">
        <v>83</v>
      </c>
    </row>
    <row r="87" spans="2:11" ht="15">
      <c r="B87" s="14" t="s">
        <v>75</v>
      </c>
      <c r="C87" s="14" t="s">
        <v>76</v>
      </c>
      <c r="H87" s="14" t="s">
        <v>77</v>
      </c>
      <c r="K87" s="14" t="s">
        <v>78</v>
      </c>
    </row>
    <row r="88" spans="2:3" ht="15">
      <c r="B88" s="14" t="s">
        <v>79</v>
      </c>
      <c r="C88" s="14" t="s">
        <v>267</v>
      </c>
    </row>
    <row r="89" ht="15">
      <c r="B89" s="14" t="s">
        <v>950</v>
      </c>
    </row>
  </sheetData>
  <mergeCells count="18">
    <mergeCell ref="P7:Q7"/>
    <mergeCell ref="R7:R8"/>
    <mergeCell ref="B11:C11"/>
    <mergeCell ref="B27:C27"/>
    <mergeCell ref="B9:C9"/>
    <mergeCell ref="N7:O7"/>
    <mergeCell ref="B15:C15"/>
    <mergeCell ref="B12:C12"/>
    <mergeCell ref="A2:S2"/>
    <mergeCell ref="A3:S3"/>
    <mergeCell ref="A4:S4"/>
    <mergeCell ref="S7:S8"/>
    <mergeCell ref="J7:K7"/>
    <mergeCell ref="L7:M7"/>
    <mergeCell ref="A6:A8"/>
    <mergeCell ref="D7:E7"/>
    <mergeCell ref="F7:G7"/>
    <mergeCell ref="H7:I7"/>
  </mergeCells>
  <printOptions horizontalCentered="1"/>
  <pageMargins left="0.11811023622047245" right="0.7086614173228347" top="0.7874015748031497" bottom="0.984251968503937" header="0" footer="0.7874015748031497"/>
  <pageSetup horizontalDpi="300" verticalDpi="300" orientation="portrait" paperSize="9" scale="49" r:id="rId1"/>
  <headerFooter alignWithMargins="0">
    <oddFooter>&amp;C110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31"/>
  <dimension ref="A1:L54"/>
  <sheetViews>
    <sheetView view="pageBreakPreview" zoomScale="60" zoomScaleNormal="75" workbookViewId="0" topLeftCell="A1">
      <selection activeCell="N21" sqref="N21"/>
    </sheetView>
  </sheetViews>
  <sheetFormatPr defaultColWidth="9.140625" defaultRowHeight="12.75"/>
  <cols>
    <col min="1" max="1" width="7.57421875" style="14" customWidth="1"/>
    <col min="2" max="2" width="11.8515625" style="14" customWidth="1"/>
    <col min="3" max="3" width="22.57421875" style="18" customWidth="1"/>
    <col min="4" max="4" width="14.8515625" style="14" customWidth="1"/>
    <col min="5" max="5" width="18.28125" style="14" customWidth="1"/>
    <col min="6" max="6" width="14.8515625" style="14" customWidth="1"/>
    <col min="7" max="7" width="14.57421875" style="14" customWidth="1"/>
    <col min="8" max="8" width="15.28125" style="14" customWidth="1"/>
    <col min="9" max="9" width="14.57421875" style="14" customWidth="1"/>
    <col min="10" max="10" width="15.140625" style="14" customWidth="1"/>
    <col min="11" max="11" width="17.28125" style="14" customWidth="1"/>
    <col min="12" max="16384" width="9.140625" style="14" customWidth="1"/>
  </cols>
  <sheetData>
    <row r="1" ht="15">
      <c r="A1" s="13" t="s">
        <v>807</v>
      </c>
    </row>
    <row r="2" spans="1:11" ht="15">
      <c r="A2" s="641" t="s">
        <v>240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</row>
    <row r="3" spans="1:11" ht="15">
      <c r="A3" s="641" t="str">
        <f>1!A5</f>
        <v>PROVINSI KALIMANTAN TENGAH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</row>
    <row r="4" spans="1:11" ht="15">
      <c r="A4" s="641" t="str">
        <f>1!A6</f>
        <v>TAHUN 2009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ht="15.75" thickBot="1"/>
    <row r="7" spans="1:11" ht="15" customHeight="1">
      <c r="A7" s="634" t="s">
        <v>2</v>
      </c>
      <c r="B7" s="680" t="s">
        <v>53</v>
      </c>
      <c r="C7" s="742"/>
      <c r="D7" s="257" t="s">
        <v>54</v>
      </c>
      <c r="E7" s="257"/>
      <c r="F7" s="257"/>
      <c r="G7" s="257"/>
      <c r="H7" s="257"/>
      <c r="I7" s="257"/>
      <c r="J7" s="257"/>
      <c r="K7" s="257"/>
    </row>
    <row r="8" spans="1:11" ht="30" customHeight="1">
      <c r="A8" s="635"/>
      <c r="B8" s="743"/>
      <c r="C8" s="744"/>
      <c r="D8" s="136" t="s">
        <v>55</v>
      </c>
      <c r="E8" s="229" t="s">
        <v>56</v>
      </c>
      <c r="F8" s="136" t="s">
        <v>57</v>
      </c>
      <c r="G8" s="136" t="s">
        <v>58</v>
      </c>
      <c r="H8" s="136" t="s">
        <v>59</v>
      </c>
      <c r="I8" s="136" t="s">
        <v>60</v>
      </c>
      <c r="J8" s="136" t="s">
        <v>61</v>
      </c>
      <c r="K8" s="25" t="s">
        <v>21</v>
      </c>
    </row>
    <row r="9" spans="1:11" s="5" customFormat="1" ht="15">
      <c r="A9" s="11">
        <v>1</v>
      </c>
      <c r="B9" s="49">
        <v>2</v>
      </c>
      <c r="C9" s="51"/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</row>
    <row r="10" spans="1:11" ht="15" customHeight="1">
      <c r="A10" s="33" t="s">
        <v>279</v>
      </c>
      <c r="B10" s="33" t="s">
        <v>7</v>
      </c>
      <c r="C10" s="98"/>
      <c r="D10" s="31"/>
      <c r="E10" s="31"/>
      <c r="F10" s="31"/>
      <c r="G10" s="31"/>
      <c r="H10" s="31"/>
      <c r="I10" s="31"/>
      <c r="J10" s="31"/>
      <c r="K10" s="31">
        <f>SUM(D10:J10)</f>
        <v>0</v>
      </c>
    </row>
    <row r="11" spans="1:11" ht="15" customHeight="1">
      <c r="A11" s="183">
        <f>'35'!A11</f>
        <v>1</v>
      </c>
      <c r="B11" s="183" t="str">
        <f>'35'!B11</f>
        <v>Kotawaringin Barat</v>
      </c>
      <c r="C11" s="227"/>
      <c r="D11" s="31">
        <f>'53'!D12</f>
        <v>28</v>
      </c>
      <c r="E11" s="31">
        <f>'53'!F12</f>
        <v>224</v>
      </c>
      <c r="F11" s="31">
        <f>'53'!H12</f>
        <v>14</v>
      </c>
      <c r="G11" s="31">
        <f>'53'!J12</f>
        <v>13</v>
      </c>
      <c r="H11" s="31">
        <f>'53'!L12</f>
        <v>13</v>
      </c>
      <c r="I11" s="31">
        <f>'53'!N12</f>
        <v>13</v>
      </c>
      <c r="J11" s="31">
        <f>'53'!P12</f>
        <v>1</v>
      </c>
      <c r="K11" s="31">
        <f aca="true" t="shared" si="0" ref="K11:K25">SUM(D11:J11)</f>
        <v>306</v>
      </c>
    </row>
    <row r="12" spans="1:11" ht="15" customHeight="1">
      <c r="A12" s="183">
        <f>'35'!A12</f>
        <v>2</v>
      </c>
      <c r="B12" s="183" t="str">
        <f>'35'!B12</f>
        <v>Lamandau</v>
      </c>
      <c r="C12" s="227"/>
      <c r="D12" s="31">
        <f>'53'!D13</f>
        <v>11</v>
      </c>
      <c r="E12" s="31">
        <f>'53'!F13</f>
        <v>176</v>
      </c>
      <c r="F12" s="31">
        <f>'53'!H13</f>
        <v>3</v>
      </c>
      <c r="G12" s="31">
        <f>'53'!J13</f>
        <v>14</v>
      </c>
      <c r="H12" s="31">
        <f>'53'!L13</f>
        <v>1</v>
      </c>
      <c r="I12" s="31">
        <f>'53'!N13</f>
        <v>2</v>
      </c>
      <c r="J12" s="31">
        <f>'53'!P13</f>
        <v>9</v>
      </c>
      <c r="K12" s="31">
        <f t="shared" si="0"/>
        <v>216</v>
      </c>
    </row>
    <row r="13" spans="1:11" ht="15" customHeight="1">
      <c r="A13" s="183">
        <f>'35'!A13</f>
        <v>3</v>
      </c>
      <c r="B13" s="183" t="str">
        <f>'35'!B13</f>
        <v>Sukamara</v>
      </c>
      <c r="C13" s="227"/>
      <c r="D13" s="139">
        <f>'53'!D14</f>
        <v>11</v>
      </c>
      <c r="E13" s="31">
        <f>'53'!F14</f>
        <v>94</v>
      </c>
      <c r="F13" s="31">
        <f>'53'!H14</f>
        <v>3</v>
      </c>
      <c r="G13" s="139">
        <f>'53'!J14</f>
        <v>5</v>
      </c>
      <c r="H13" s="31">
        <f>'53'!L14</f>
        <v>3</v>
      </c>
      <c r="I13" s="31">
        <f>'53'!N14</f>
        <v>6</v>
      </c>
      <c r="J13" s="31">
        <f>'53'!P14</f>
        <v>1</v>
      </c>
      <c r="K13" s="31">
        <f t="shared" si="0"/>
        <v>123</v>
      </c>
    </row>
    <row r="14" spans="1:11" ht="15" customHeight="1">
      <c r="A14" s="183">
        <f>'35'!A14</f>
        <v>4</v>
      </c>
      <c r="B14" s="183" t="str">
        <f>'35'!B14</f>
        <v>Kotawaringin Timur</v>
      </c>
      <c r="C14" s="227"/>
      <c r="D14" s="31">
        <f>'53'!D15</f>
        <v>42</v>
      </c>
      <c r="E14" s="139">
        <f>'53'!F15</f>
        <v>366</v>
      </c>
      <c r="F14" s="31">
        <f>'53'!H15</f>
        <v>9</v>
      </c>
      <c r="G14" s="31">
        <f>'53'!J15</f>
        <v>18</v>
      </c>
      <c r="H14" s="31">
        <f>'53'!L15</f>
        <v>9</v>
      </c>
      <c r="I14" s="31">
        <f>'53'!N15</f>
        <v>20</v>
      </c>
      <c r="J14" s="31">
        <f>'53'!P15</f>
        <v>0</v>
      </c>
      <c r="K14" s="31">
        <f t="shared" si="0"/>
        <v>464</v>
      </c>
    </row>
    <row r="15" spans="1:11" ht="15" customHeight="1">
      <c r="A15" s="183">
        <f>'35'!A15</f>
        <v>5</v>
      </c>
      <c r="B15" s="183" t="str">
        <f>'35'!B15</f>
        <v>Seruyan</v>
      </c>
      <c r="C15" s="227"/>
      <c r="D15" s="31">
        <f>'53'!D16</f>
        <v>10</v>
      </c>
      <c r="E15" s="31">
        <f>'53'!F16</f>
        <v>148</v>
      </c>
      <c r="F15" s="31">
        <f>'53'!H16</f>
        <v>1</v>
      </c>
      <c r="G15" s="139">
        <f>'53'!J16</f>
        <v>13</v>
      </c>
      <c r="H15" s="139">
        <f>'53'!L16</f>
        <v>4</v>
      </c>
      <c r="I15" s="31">
        <f>'53'!N16</f>
        <v>6</v>
      </c>
      <c r="J15" s="31">
        <f>'53'!P16</f>
        <v>1</v>
      </c>
      <c r="K15" s="31">
        <f t="shared" si="0"/>
        <v>183</v>
      </c>
    </row>
    <row r="16" spans="1:11" ht="15" customHeight="1">
      <c r="A16" s="183">
        <f>'35'!A16</f>
        <v>6</v>
      </c>
      <c r="B16" s="183" t="str">
        <f>'35'!B16</f>
        <v>Katingan</v>
      </c>
      <c r="C16" s="227"/>
      <c r="D16" s="31">
        <f>'53'!D17</f>
        <v>19</v>
      </c>
      <c r="E16" s="31">
        <f>'53'!F17</f>
        <v>296</v>
      </c>
      <c r="F16" s="31">
        <f>'53'!H17</f>
        <v>1</v>
      </c>
      <c r="G16" s="31">
        <f>'53'!J17</f>
        <v>12</v>
      </c>
      <c r="H16" s="31">
        <f>'53'!L17</f>
        <v>1</v>
      </c>
      <c r="I16" s="31">
        <f>'53'!N17</f>
        <v>7</v>
      </c>
      <c r="J16" s="31">
        <f>'53'!P17</f>
        <v>0</v>
      </c>
      <c r="K16" s="31">
        <f t="shared" si="0"/>
        <v>336</v>
      </c>
    </row>
    <row r="17" spans="1:12" ht="15" customHeight="1">
      <c r="A17" s="183">
        <f>'35'!A17</f>
        <v>7</v>
      </c>
      <c r="B17" s="183" t="str">
        <f>'35'!B17</f>
        <v>Kapuas</v>
      </c>
      <c r="C17" s="227"/>
      <c r="D17" s="139">
        <f>'53'!D18</f>
        <v>33</v>
      </c>
      <c r="E17" s="139">
        <f>'53'!F18</f>
        <v>375</v>
      </c>
      <c r="F17" s="139">
        <f>'53'!H18</f>
        <v>11</v>
      </c>
      <c r="G17" s="139">
        <f>'53'!J18</f>
        <v>28</v>
      </c>
      <c r="H17" s="139">
        <f>'53'!L18</f>
        <v>11</v>
      </c>
      <c r="I17" s="139">
        <f>'53'!N18</f>
        <v>27</v>
      </c>
      <c r="J17" s="139">
        <f>'53'!P18</f>
        <v>9</v>
      </c>
      <c r="K17" s="139">
        <f t="shared" si="0"/>
        <v>494</v>
      </c>
      <c r="L17" s="133"/>
    </row>
    <row r="18" spans="1:11" ht="15" customHeight="1">
      <c r="A18" s="183">
        <f>'35'!A18</f>
        <v>8</v>
      </c>
      <c r="B18" s="183" t="str">
        <f>'35'!B18</f>
        <v>Pulang Pisau</v>
      </c>
      <c r="C18" s="227"/>
      <c r="D18" s="31">
        <f>'53'!D19</f>
        <v>15</v>
      </c>
      <c r="E18" s="139">
        <f>'53'!F19</f>
        <v>195</v>
      </c>
      <c r="F18" s="139">
        <f>'53'!H19</f>
        <v>3</v>
      </c>
      <c r="G18" s="139">
        <f>'53'!J19</f>
        <v>12</v>
      </c>
      <c r="H18" s="139">
        <f>'53'!L19</f>
        <v>3</v>
      </c>
      <c r="I18" s="139">
        <f>'53'!N19</f>
        <v>6</v>
      </c>
      <c r="J18" s="31">
        <f>'53'!P19</f>
        <v>1</v>
      </c>
      <c r="K18" s="31">
        <f t="shared" si="0"/>
        <v>235</v>
      </c>
    </row>
    <row r="19" spans="1:11" ht="15" customHeight="1">
      <c r="A19" s="183">
        <f>'35'!A19</f>
        <v>9</v>
      </c>
      <c r="B19" s="183" t="str">
        <f>'35'!B19</f>
        <v>Gunung Mas</v>
      </c>
      <c r="C19" s="227"/>
      <c r="D19" s="31">
        <f>'53'!D20</f>
        <v>16</v>
      </c>
      <c r="E19" s="31">
        <f>'53'!F20</f>
        <v>195</v>
      </c>
      <c r="F19" s="31">
        <f>'53'!H20</f>
        <v>1</v>
      </c>
      <c r="G19" s="31">
        <f>'53'!J20</f>
        <v>7</v>
      </c>
      <c r="H19" s="31">
        <f>'53'!L20</f>
        <v>0</v>
      </c>
      <c r="I19" s="31">
        <f>'53'!N20</f>
        <v>4</v>
      </c>
      <c r="J19" s="31">
        <f>'53'!P20</f>
        <v>2</v>
      </c>
      <c r="K19" s="31">
        <f t="shared" si="0"/>
        <v>225</v>
      </c>
    </row>
    <row r="20" spans="1:11" ht="15" customHeight="1">
      <c r="A20" s="183">
        <f>'35'!A20</f>
        <v>10</v>
      </c>
      <c r="B20" s="183" t="str">
        <f>'35'!B20</f>
        <v>Barito Selatan</v>
      </c>
      <c r="C20" s="227"/>
      <c r="D20" s="31">
        <f>'53'!D21</f>
        <v>12</v>
      </c>
      <c r="E20" s="31">
        <f>'53'!F21</f>
        <v>177</v>
      </c>
      <c r="F20" s="31">
        <f>'53'!H21</f>
        <v>3</v>
      </c>
      <c r="G20" s="31">
        <f>'53'!J21</f>
        <v>10</v>
      </c>
      <c r="H20" s="31">
        <f>'53'!L21</f>
        <v>7</v>
      </c>
      <c r="I20" s="31">
        <f>'53'!N21</f>
        <v>15</v>
      </c>
      <c r="J20" s="31">
        <f>'53'!P21</f>
        <v>2</v>
      </c>
      <c r="K20" s="31">
        <f t="shared" si="0"/>
        <v>226</v>
      </c>
    </row>
    <row r="21" spans="1:11" ht="15" customHeight="1">
      <c r="A21" s="183">
        <f>'35'!A21</f>
        <v>11</v>
      </c>
      <c r="B21" s="183" t="str">
        <f>'35'!B21</f>
        <v>Barito Timur</v>
      </c>
      <c r="C21" s="227"/>
      <c r="D21" s="31">
        <f>'53'!D22</f>
        <v>12</v>
      </c>
      <c r="E21" s="31">
        <f>'53'!F22</f>
        <v>188</v>
      </c>
      <c r="F21" s="31">
        <f>'53'!H22</f>
        <v>5</v>
      </c>
      <c r="G21" s="31">
        <f>'53'!J22</f>
        <v>9</v>
      </c>
      <c r="H21" s="31">
        <f>'53'!L22</f>
        <v>9</v>
      </c>
      <c r="I21" s="31">
        <f>'53'!N22</f>
        <v>15</v>
      </c>
      <c r="J21" s="31">
        <f>'53'!P22</f>
        <v>1</v>
      </c>
      <c r="K21" s="31">
        <f t="shared" si="0"/>
        <v>239</v>
      </c>
    </row>
    <row r="22" spans="1:11" ht="15" customHeight="1">
      <c r="A22" s="183">
        <f>'35'!A22</f>
        <v>12</v>
      </c>
      <c r="B22" s="183" t="str">
        <f>'35'!B22</f>
        <v>Barito Utara</v>
      </c>
      <c r="C22" s="227"/>
      <c r="D22" s="31">
        <f>'53'!D23</f>
        <v>16</v>
      </c>
      <c r="E22" s="139">
        <f>'53'!F23</f>
        <v>219</v>
      </c>
      <c r="F22" s="31">
        <f>'53'!H23</f>
        <v>7</v>
      </c>
      <c r="G22" s="31">
        <f>'53'!J23</f>
        <v>14</v>
      </c>
      <c r="H22" s="31">
        <f>'53'!L23</f>
        <v>5</v>
      </c>
      <c r="I22" s="31">
        <f>'53'!N23</f>
        <v>4</v>
      </c>
      <c r="J22" s="31">
        <f>'53'!P23</f>
        <v>15</v>
      </c>
      <c r="K22" s="31">
        <f t="shared" si="0"/>
        <v>280</v>
      </c>
    </row>
    <row r="23" spans="1:11" ht="15" customHeight="1">
      <c r="A23" s="183">
        <f>'35'!A23</f>
        <v>13</v>
      </c>
      <c r="B23" s="183" t="str">
        <f>'35'!B23</f>
        <v>Murung Raya</v>
      </c>
      <c r="C23" s="227"/>
      <c r="D23" s="139">
        <f>'53'!D24</f>
        <v>18</v>
      </c>
      <c r="E23" s="139">
        <f>'53'!F24</f>
        <v>154</v>
      </c>
      <c r="F23" s="139">
        <f>'53'!H24</f>
        <v>5</v>
      </c>
      <c r="G23" s="139">
        <f>'53'!J24</f>
        <v>8</v>
      </c>
      <c r="H23" s="139">
        <f>'53'!L24</f>
        <v>6</v>
      </c>
      <c r="I23" s="139">
        <f>'53'!N24</f>
        <v>9</v>
      </c>
      <c r="J23" s="139">
        <f>'53'!P24</f>
        <v>3</v>
      </c>
      <c r="K23" s="31">
        <f t="shared" si="0"/>
        <v>203</v>
      </c>
    </row>
    <row r="24" spans="1:11" ht="15" customHeight="1">
      <c r="A24" s="183">
        <f>'35'!A24</f>
        <v>14</v>
      </c>
      <c r="B24" s="183" t="str">
        <f>'35'!B24</f>
        <v>Palangka Raya</v>
      </c>
      <c r="C24" s="227"/>
      <c r="D24" s="31">
        <f>'53'!D25</f>
        <v>42</v>
      </c>
      <c r="E24" s="31">
        <f>'53'!F25</f>
        <v>278</v>
      </c>
      <c r="F24" s="31">
        <f>'53'!H25</f>
        <v>13</v>
      </c>
      <c r="G24" s="31">
        <f>'53'!J25</f>
        <v>14</v>
      </c>
      <c r="H24" s="31">
        <f>'53'!L25</f>
        <v>11</v>
      </c>
      <c r="I24" s="31">
        <f>'53'!N25</f>
        <v>12</v>
      </c>
      <c r="J24" s="31">
        <f>'53'!P25</f>
        <v>4</v>
      </c>
      <c r="K24" s="31">
        <f t="shared" si="0"/>
        <v>374</v>
      </c>
    </row>
    <row r="25" spans="1:11" ht="15" customHeight="1">
      <c r="A25" s="232"/>
      <c r="B25" s="232"/>
      <c r="C25" s="527"/>
      <c r="D25" s="36"/>
      <c r="E25" s="36"/>
      <c r="F25" s="36"/>
      <c r="G25" s="36"/>
      <c r="H25" s="36"/>
      <c r="I25" s="36"/>
      <c r="J25" s="36"/>
      <c r="K25" s="36">
        <f t="shared" si="0"/>
        <v>0</v>
      </c>
    </row>
    <row r="26" spans="1:11" ht="19.5" customHeight="1">
      <c r="A26" s="736" t="s">
        <v>62</v>
      </c>
      <c r="B26" s="737"/>
      <c r="C26" s="738"/>
      <c r="D26" s="31">
        <f aca="true" t="shared" si="1" ref="D26:K26">SUM(D10:D25)</f>
        <v>285</v>
      </c>
      <c r="E26" s="31">
        <f t="shared" si="1"/>
        <v>3085</v>
      </c>
      <c r="F26" s="31">
        <f t="shared" si="1"/>
        <v>79</v>
      </c>
      <c r="G26" s="31">
        <f t="shared" si="1"/>
        <v>177</v>
      </c>
      <c r="H26" s="31">
        <f t="shared" si="1"/>
        <v>83</v>
      </c>
      <c r="I26" s="31">
        <f t="shared" si="1"/>
        <v>146</v>
      </c>
      <c r="J26" s="31">
        <f t="shared" si="1"/>
        <v>49</v>
      </c>
      <c r="K26" s="31">
        <f t="shared" si="1"/>
        <v>3904</v>
      </c>
    </row>
    <row r="27" spans="1:11" ht="15" customHeight="1">
      <c r="A27" s="142" t="s">
        <v>871</v>
      </c>
      <c r="B27" s="528" t="s">
        <v>36</v>
      </c>
      <c r="C27" s="529"/>
      <c r="D27" s="196"/>
      <c r="E27" s="196"/>
      <c r="F27" s="196"/>
      <c r="G27" s="196"/>
      <c r="H27" s="196"/>
      <c r="I27" s="196"/>
      <c r="J27" s="196"/>
      <c r="K27" s="196"/>
    </row>
    <row r="28" spans="1:11" ht="15" customHeight="1">
      <c r="A28" s="138">
        <f>'35'!A45</f>
        <v>1</v>
      </c>
      <c r="B28" s="183" t="str">
        <f>'35'!B45</f>
        <v>Dr. St. Imanuddin</v>
      </c>
      <c r="C28" s="227"/>
      <c r="D28" s="31">
        <f>'53'!D28</f>
        <v>23</v>
      </c>
      <c r="E28" s="31">
        <f>'53'!F28</f>
        <v>106</v>
      </c>
      <c r="F28" s="31">
        <f>'53'!H28</f>
        <v>5</v>
      </c>
      <c r="G28" s="31">
        <f>'53'!J28</f>
        <v>5</v>
      </c>
      <c r="H28" s="31">
        <f>'53'!L28</f>
        <v>22</v>
      </c>
      <c r="I28" s="31">
        <f>'53'!N28</f>
        <v>2</v>
      </c>
      <c r="J28" s="31">
        <f>'53'!P28</f>
        <v>6</v>
      </c>
      <c r="K28" s="31">
        <f>SUM(D28:J28)</f>
        <v>169</v>
      </c>
    </row>
    <row r="29" spans="1:11" ht="15" customHeight="1">
      <c r="A29" s="138">
        <f>'35'!A46</f>
        <v>2</v>
      </c>
      <c r="B29" s="183" t="str">
        <f>'35'!B46</f>
        <v>Lamandau</v>
      </c>
      <c r="C29" s="227"/>
      <c r="D29" s="31">
        <f>'53'!D29</f>
        <v>5</v>
      </c>
      <c r="E29" s="31">
        <f>'53'!F29</f>
        <v>31</v>
      </c>
      <c r="F29" s="31">
        <f>'53'!H29</f>
        <v>2</v>
      </c>
      <c r="G29" s="31">
        <f>'53'!J29</f>
        <v>1</v>
      </c>
      <c r="H29" s="31">
        <f>'53'!L29</f>
        <v>2</v>
      </c>
      <c r="I29" s="31">
        <f>'53'!N29</f>
        <v>0</v>
      </c>
      <c r="J29" s="31">
        <f>'53'!P29</f>
        <v>1</v>
      </c>
      <c r="K29" s="31">
        <f aca="true" t="shared" si="2" ref="K29:K42">SUM(D29:J29)</f>
        <v>42</v>
      </c>
    </row>
    <row r="30" spans="1:11" ht="15" customHeight="1">
      <c r="A30" s="138">
        <f>'35'!A47</f>
        <v>3</v>
      </c>
      <c r="B30" s="183" t="str">
        <f>'35'!B47</f>
        <v>Sukamara</v>
      </c>
      <c r="C30" s="227"/>
      <c r="D30" s="31">
        <f>'53'!D30</f>
        <v>4</v>
      </c>
      <c r="E30" s="31">
        <f>'53'!F30</f>
        <v>41</v>
      </c>
      <c r="F30" s="31">
        <f>'53'!H30</f>
        <v>5</v>
      </c>
      <c r="G30" s="31">
        <f>'53'!J30</f>
        <v>2</v>
      </c>
      <c r="H30" s="31">
        <v>1</v>
      </c>
      <c r="I30" s="139">
        <f>'53'!N30</f>
        <v>2</v>
      </c>
      <c r="J30" s="31">
        <f>'53'!P30</f>
        <v>3</v>
      </c>
      <c r="K30" s="31">
        <f t="shared" si="2"/>
        <v>58</v>
      </c>
    </row>
    <row r="31" spans="1:11" ht="15" customHeight="1">
      <c r="A31" s="138">
        <f>'35'!A48</f>
        <v>4</v>
      </c>
      <c r="B31" s="183" t="str">
        <f>'35'!B48</f>
        <v>Dr. Murjani</v>
      </c>
      <c r="C31" s="227"/>
      <c r="D31" s="31">
        <f>'53'!D31</f>
        <v>28</v>
      </c>
      <c r="E31" s="31">
        <f>'53'!F31</f>
        <v>117</v>
      </c>
      <c r="F31" s="31">
        <f>'53'!H31</f>
        <v>7</v>
      </c>
      <c r="G31" s="31">
        <f>'53'!J31</f>
        <v>8</v>
      </c>
      <c r="H31" s="139">
        <f>'53'!L31</f>
        <v>9</v>
      </c>
      <c r="I31" s="31">
        <f>'53'!N31</f>
        <v>4</v>
      </c>
      <c r="J31" s="31">
        <f>'53'!P31</f>
        <v>6</v>
      </c>
      <c r="K31" s="31">
        <f t="shared" si="2"/>
        <v>179</v>
      </c>
    </row>
    <row r="32" spans="1:11" ht="15" customHeight="1">
      <c r="A32" s="138">
        <f>'35'!A49</f>
        <v>5</v>
      </c>
      <c r="B32" s="183" t="str">
        <f>'35'!B49</f>
        <v>Kuala Pembuang</v>
      </c>
      <c r="C32" s="227"/>
      <c r="D32" s="31">
        <f>'53'!D32</f>
        <v>6</v>
      </c>
      <c r="E32" s="31">
        <f>'53'!F32</f>
        <v>43</v>
      </c>
      <c r="F32" s="31">
        <f>'53'!H32</f>
        <v>1</v>
      </c>
      <c r="G32" s="31">
        <f>'53'!J32</f>
        <v>1</v>
      </c>
      <c r="H32" s="31">
        <f>'53'!L32</f>
        <v>3</v>
      </c>
      <c r="I32" s="31">
        <f>'53'!N32</f>
        <v>1</v>
      </c>
      <c r="J32" s="31">
        <f>'53'!P32</f>
        <v>0</v>
      </c>
      <c r="K32" s="31">
        <f t="shared" si="2"/>
        <v>55</v>
      </c>
    </row>
    <row r="33" spans="1:11" ht="15" customHeight="1">
      <c r="A33" s="138">
        <f>'35'!A50</f>
        <v>6</v>
      </c>
      <c r="B33" s="183" t="str">
        <f>'35'!B50</f>
        <v>Hanua</v>
      </c>
      <c r="C33" s="227"/>
      <c r="D33" s="31">
        <f>'53'!D33</f>
        <v>6</v>
      </c>
      <c r="E33" s="31">
        <f>'53'!F33</f>
        <v>20</v>
      </c>
      <c r="F33" s="31">
        <f>'53'!H33</f>
        <v>2</v>
      </c>
      <c r="G33" s="31">
        <f>'53'!J33</f>
        <v>2</v>
      </c>
      <c r="H33" s="31">
        <f>'53'!L33</f>
        <v>3</v>
      </c>
      <c r="I33" s="31">
        <f>'53'!N33</f>
        <v>1</v>
      </c>
      <c r="J33" s="31">
        <f>'53'!P33</f>
        <v>1</v>
      </c>
      <c r="K33" s="31">
        <f>SUM(D33:J33)</f>
        <v>35</v>
      </c>
    </row>
    <row r="34" spans="1:11" ht="15" customHeight="1">
      <c r="A34" s="138">
        <f>'35'!A51</f>
        <v>7</v>
      </c>
      <c r="B34" s="183" t="str">
        <f>'35'!B51</f>
        <v>Kasongan</v>
      </c>
      <c r="C34" s="227"/>
      <c r="D34" s="31">
        <f>'53'!D34</f>
        <v>13</v>
      </c>
      <c r="E34" s="31">
        <f>'53'!F34</f>
        <v>87</v>
      </c>
      <c r="F34" s="31">
        <f>'53'!H34</f>
        <v>8</v>
      </c>
      <c r="G34" s="31">
        <f>'53'!J34</f>
        <v>4</v>
      </c>
      <c r="H34" s="31">
        <f>'53'!L34</f>
        <v>6</v>
      </c>
      <c r="I34" s="31">
        <f>'53'!N34</f>
        <v>2</v>
      </c>
      <c r="J34" s="31">
        <f>'53'!P34</f>
        <v>4</v>
      </c>
      <c r="K34" s="31">
        <f t="shared" si="2"/>
        <v>124</v>
      </c>
    </row>
    <row r="35" spans="1:11" ht="15" customHeight="1">
      <c r="A35" s="138">
        <f>'35'!A52</f>
        <v>8</v>
      </c>
      <c r="B35" s="183" t="str">
        <f>'35'!B52</f>
        <v>Dr. Soemarno SA</v>
      </c>
      <c r="C35" s="227"/>
      <c r="D35" s="31">
        <f>'53'!D35</f>
        <v>14</v>
      </c>
      <c r="E35" s="31">
        <f>'53'!F35</f>
        <v>139</v>
      </c>
      <c r="F35" s="31">
        <f>'53'!H35</f>
        <v>11</v>
      </c>
      <c r="G35" s="31">
        <f>'53'!J35</f>
        <v>5</v>
      </c>
      <c r="H35" s="31">
        <f>'53'!L35</f>
        <v>22</v>
      </c>
      <c r="I35" s="31">
        <f>'53'!N35</f>
        <v>6</v>
      </c>
      <c r="J35" s="31">
        <f>'53'!P35</f>
        <v>4</v>
      </c>
      <c r="K35" s="31">
        <f t="shared" si="2"/>
        <v>201</v>
      </c>
    </row>
    <row r="36" spans="1:11" ht="15" customHeight="1">
      <c r="A36" s="138">
        <f>'35'!A53</f>
        <v>9</v>
      </c>
      <c r="B36" s="183" t="str">
        <f>'35'!B53</f>
        <v>Pulang Pisau</v>
      </c>
      <c r="C36" s="227"/>
      <c r="D36" s="31">
        <f>'53'!D36</f>
        <v>4</v>
      </c>
      <c r="E36" s="31">
        <f>'53'!F36</f>
        <v>37</v>
      </c>
      <c r="F36" s="139">
        <f>'53'!H36</f>
        <v>4</v>
      </c>
      <c r="G36" s="139">
        <f>'53'!J36</f>
        <v>3</v>
      </c>
      <c r="H36" s="139">
        <f>'53'!L36</f>
        <v>7</v>
      </c>
      <c r="I36" s="139">
        <f>'53'!N36</f>
        <v>0</v>
      </c>
      <c r="J36" s="139">
        <f>'53'!P36</f>
        <v>0</v>
      </c>
      <c r="K36" s="31">
        <f t="shared" si="2"/>
        <v>55</v>
      </c>
    </row>
    <row r="37" spans="1:11" ht="15" customHeight="1">
      <c r="A37" s="138">
        <f>'35'!A54</f>
        <v>10</v>
      </c>
      <c r="B37" s="183" t="str">
        <f>'35'!B54</f>
        <v>Kuala Kurun</v>
      </c>
      <c r="C37" s="227"/>
      <c r="D37" s="31">
        <f>'53'!D37</f>
        <v>9</v>
      </c>
      <c r="E37" s="31">
        <f>'53'!F37</f>
        <v>43</v>
      </c>
      <c r="F37" s="31">
        <f>'53'!H37</f>
        <v>1</v>
      </c>
      <c r="G37" s="31">
        <f>'53'!J37</f>
        <v>4</v>
      </c>
      <c r="H37" s="31">
        <f>'53'!L37</f>
        <v>3</v>
      </c>
      <c r="I37" s="31">
        <f>'53'!N37</f>
        <v>1</v>
      </c>
      <c r="J37" s="31">
        <f>'53'!P37</f>
        <v>0</v>
      </c>
      <c r="K37" s="31">
        <f t="shared" si="2"/>
        <v>61</v>
      </c>
    </row>
    <row r="38" spans="1:11" ht="15" customHeight="1">
      <c r="A38" s="138">
        <f>'35'!A55</f>
        <v>11</v>
      </c>
      <c r="B38" s="183" t="str">
        <f>'35'!B55</f>
        <v>Buntok</v>
      </c>
      <c r="C38" s="227"/>
      <c r="D38" s="31">
        <f>'53'!D38</f>
        <v>15</v>
      </c>
      <c r="E38" s="31">
        <f>'53'!F38</f>
        <v>135</v>
      </c>
      <c r="F38" s="31">
        <f>'53'!H38</f>
        <v>3</v>
      </c>
      <c r="G38" s="31">
        <f>'53'!J38</f>
        <v>3</v>
      </c>
      <c r="H38" s="31">
        <f>'53'!L38</f>
        <v>13</v>
      </c>
      <c r="I38" s="31">
        <f>'53'!N38</f>
        <v>6</v>
      </c>
      <c r="J38" s="31">
        <f>'53'!P38</f>
        <v>3</v>
      </c>
      <c r="K38" s="31">
        <f t="shared" si="2"/>
        <v>178</v>
      </c>
    </row>
    <row r="39" spans="1:11" ht="15" customHeight="1">
      <c r="A39" s="138">
        <f>'35'!A56</f>
        <v>12</v>
      </c>
      <c r="B39" s="183" t="str">
        <f>'35'!B56</f>
        <v>Tamiang Layang</v>
      </c>
      <c r="C39" s="227"/>
      <c r="D39" s="31">
        <f>'53'!D39</f>
        <v>8</v>
      </c>
      <c r="E39" s="31">
        <f>'53'!F39</f>
        <v>44</v>
      </c>
      <c r="F39" s="31">
        <f>'53'!H39</f>
        <v>3</v>
      </c>
      <c r="G39" s="31">
        <f>'53'!J39</f>
        <v>3</v>
      </c>
      <c r="H39" s="31">
        <f>'53'!L39</f>
        <v>9</v>
      </c>
      <c r="I39" s="31">
        <f>'53'!N39</f>
        <v>2</v>
      </c>
      <c r="J39" s="31">
        <f>'53'!P39</f>
        <v>2</v>
      </c>
      <c r="K39" s="31">
        <f t="shared" si="2"/>
        <v>71</v>
      </c>
    </row>
    <row r="40" spans="1:11" ht="15" customHeight="1">
      <c r="A40" s="138">
        <f>'35'!A57</f>
        <v>13</v>
      </c>
      <c r="B40" s="183" t="str">
        <f>'35'!B57</f>
        <v>Muara Teweh</v>
      </c>
      <c r="C40" s="227"/>
      <c r="D40" s="31">
        <f>'53'!D40</f>
        <v>12</v>
      </c>
      <c r="E40" s="31">
        <f>'53'!F40</f>
        <v>81</v>
      </c>
      <c r="F40" s="31">
        <f>'53'!H40</f>
        <v>4</v>
      </c>
      <c r="G40" s="31">
        <f>'53'!J40</f>
        <v>0</v>
      </c>
      <c r="H40" s="31">
        <f>'53'!L40</f>
        <v>12</v>
      </c>
      <c r="I40" s="31">
        <f>'53'!N40</f>
        <v>0</v>
      </c>
      <c r="J40" s="31">
        <f>'53'!P40</f>
        <v>6</v>
      </c>
      <c r="K40" s="31">
        <f t="shared" si="2"/>
        <v>115</v>
      </c>
    </row>
    <row r="41" spans="1:11" ht="15" customHeight="1">
      <c r="A41" s="138">
        <f>'35'!A58</f>
        <v>14</v>
      </c>
      <c r="B41" s="183" t="str">
        <f>'35'!B58</f>
        <v>Puruk Cahu</v>
      </c>
      <c r="C41" s="227"/>
      <c r="D41" s="31">
        <f>'53'!D41</f>
        <v>10</v>
      </c>
      <c r="E41" s="31">
        <f>'53'!F41</f>
        <v>69</v>
      </c>
      <c r="F41" s="31">
        <f>'53'!H41</f>
        <v>6</v>
      </c>
      <c r="G41" s="31">
        <f>'53'!J41</f>
        <v>2</v>
      </c>
      <c r="H41" s="31">
        <f>'53'!L41</f>
        <v>6</v>
      </c>
      <c r="I41" s="31">
        <f>'53'!N41</f>
        <v>3</v>
      </c>
      <c r="J41" s="31">
        <f>'53'!P41</f>
        <v>0</v>
      </c>
      <c r="K41" s="31">
        <f t="shared" si="2"/>
        <v>96</v>
      </c>
    </row>
    <row r="42" spans="1:11" ht="15" customHeight="1">
      <c r="A42" s="30">
        <f>'35'!A59</f>
        <v>15</v>
      </c>
      <c r="B42" s="33" t="str">
        <f>'35'!B59</f>
        <v>Dr. Doris Sylvanus</v>
      </c>
      <c r="C42" s="98"/>
      <c r="D42" s="31">
        <f>'53'!D42</f>
        <v>55</v>
      </c>
      <c r="E42" s="31">
        <f>'53'!F42</f>
        <v>333</v>
      </c>
      <c r="F42" s="31">
        <f>'53'!H42</f>
        <v>21</v>
      </c>
      <c r="G42" s="31">
        <f>'53'!J42</f>
        <v>17</v>
      </c>
      <c r="H42" s="31">
        <f>'53'!L42</f>
        <v>26</v>
      </c>
      <c r="I42" s="31">
        <f>'53'!N42</f>
        <v>19</v>
      </c>
      <c r="J42" s="31">
        <f>'53'!P42</f>
        <v>6</v>
      </c>
      <c r="K42" s="31">
        <f t="shared" si="2"/>
        <v>477</v>
      </c>
    </row>
    <row r="43" spans="1:11" ht="15" customHeight="1">
      <c r="A43" s="30"/>
      <c r="B43" s="33"/>
      <c r="C43" s="98"/>
      <c r="D43" s="31"/>
      <c r="E43" s="31"/>
      <c r="F43" s="31"/>
      <c r="G43" s="31"/>
      <c r="H43" s="31"/>
      <c r="I43" s="31"/>
      <c r="J43" s="31"/>
      <c r="K43" s="36">
        <f>SUM(D43:J43)</f>
        <v>0</v>
      </c>
    </row>
    <row r="44" spans="1:11" ht="21.75" customHeight="1" thickBot="1">
      <c r="A44" s="739" t="s">
        <v>63</v>
      </c>
      <c r="B44" s="740"/>
      <c r="C44" s="741"/>
      <c r="D44" s="41">
        <f aca="true" t="shared" si="3" ref="D44:K44">SUM(D27:D43)</f>
        <v>212</v>
      </c>
      <c r="E44" s="41">
        <f t="shared" si="3"/>
        <v>1326</v>
      </c>
      <c r="F44" s="41">
        <f t="shared" si="3"/>
        <v>83</v>
      </c>
      <c r="G44" s="41">
        <f t="shared" si="3"/>
        <v>60</v>
      </c>
      <c r="H44" s="41">
        <f t="shared" si="3"/>
        <v>144</v>
      </c>
      <c r="I44" s="41">
        <f t="shared" si="3"/>
        <v>49</v>
      </c>
      <c r="J44" s="41">
        <f t="shared" si="3"/>
        <v>42</v>
      </c>
      <c r="K44" s="41">
        <f t="shared" si="3"/>
        <v>1916</v>
      </c>
    </row>
    <row r="45" spans="1:11" ht="21.75" customHeight="1">
      <c r="A45" s="9"/>
      <c r="B45" s="9"/>
      <c r="C45" s="9"/>
      <c r="D45" s="118"/>
      <c r="E45" s="118"/>
      <c r="F45" s="118"/>
      <c r="G45" s="118"/>
      <c r="H45" s="118"/>
      <c r="I45" s="118"/>
      <c r="J45" s="118"/>
      <c r="K45" s="118"/>
    </row>
    <row r="46" ht="15">
      <c r="A46" s="14" t="s">
        <v>957</v>
      </c>
    </row>
    <row r="47" ht="15">
      <c r="B47" s="14" t="s">
        <v>958</v>
      </c>
    </row>
    <row r="48" ht="15">
      <c r="B48" s="14" t="s">
        <v>962</v>
      </c>
    </row>
    <row r="50" ht="15">
      <c r="A50" s="14" t="s">
        <v>14</v>
      </c>
    </row>
    <row r="51" spans="2:7" ht="15">
      <c r="B51" s="14" t="s">
        <v>67</v>
      </c>
      <c r="C51" s="18" t="s">
        <v>68</v>
      </c>
      <c r="F51" s="10" t="s">
        <v>69</v>
      </c>
      <c r="G51" s="14" t="s">
        <v>491</v>
      </c>
    </row>
    <row r="52" spans="2:7" ht="15">
      <c r="B52" s="14" t="s">
        <v>71</v>
      </c>
      <c r="C52" s="18" t="s">
        <v>72</v>
      </c>
      <c r="F52" s="14" t="s">
        <v>73</v>
      </c>
      <c r="G52" s="14" t="s">
        <v>74</v>
      </c>
    </row>
    <row r="53" spans="2:7" ht="15">
      <c r="B53" s="14" t="s">
        <v>75</v>
      </c>
      <c r="C53" s="18" t="s">
        <v>76</v>
      </c>
      <c r="F53" s="14" t="s">
        <v>77</v>
      </c>
      <c r="G53" s="14" t="s">
        <v>78</v>
      </c>
    </row>
    <row r="54" spans="2:3" ht="15">
      <c r="B54" s="14" t="s">
        <v>79</v>
      </c>
      <c r="C54" s="18" t="s">
        <v>80</v>
      </c>
    </row>
  </sheetData>
  <mergeCells count="7">
    <mergeCell ref="A44:C44"/>
    <mergeCell ref="A7:A8"/>
    <mergeCell ref="B7:C8"/>
    <mergeCell ref="A2:K2"/>
    <mergeCell ref="A3:K3"/>
    <mergeCell ref="A4:K4"/>
    <mergeCell ref="A26:C26"/>
  </mergeCells>
  <printOptions horizontalCentered="1"/>
  <pageMargins left="0.7086614173228347" right="0.11811023622047245" top="0.984251968503937" bottom="0.9055118110236221" header="0" footer="1.1811023622047245"/>
  <pageSetup horizontalDpi="300" verticalDpi="300" orientation="portrait" paperSize="9" scale="54" r:id="rId1"/>
  <headerFooter alignWithMargins="0">
    <oddFooter>&amp;C111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34"/>
  <dimension ref="A1:K88"/>
  <sheetViews>
    <sheetView view="pageBreakPreview" zoomScale="60" zoomScaleNormal="75" workbookViewId="0" topLeftCell="A31">
      <selection activeCell="B83" sqref="B83:B86"/>
    </sheetView>
  </sheetViews>
  <sheetFormatPr defaultColWidth="9.140625" defaultRowHeight="12.75"/>
  <cols>
    <col min="1" max="1" width="5.7109375" style="133" customWidth="1"/>
    <col min="2" max="2" width="35.7109375" style="14" customWidth="1"/>
    <col min="3" max="7" width="18.7109375" style="14" customWidth="1"/>
    <col min="8" max="16384" width="9.140625" style="14" customWidth="1"/>
  </cols>
  <sheetData>
    <row r="1" spans="1:4" ht="15">
      <c r="A1" s="132" t="s">
        <v>808</v>
      </c>
      <c r="D1" s="14" t="s">
        <v>1</v>
      </c>
    </row>
    <row r="3" spans="1:7" ht="15">
      <c r="A3" s="641" t="s">
        <v>95</v>
      </c>
      <c r="B3" s="641"/>
      <c r="C3" s="641"/>
      <c r="D3" s="641"/>
      <c r="E3" s="641"/>
      <c r="F3" s="641"/>
      <c r="G3" s="641"/>
    </row>
    <row r="4" spans="1:7" ht="15">
      <c r="A4" s="642" t="str">
        <f>1!A5</f>
        <v>PROVINSI KALIMANTAN TENGAH</v>
      </c>
      <c r="B4" s="642"/>
      <c r="C4" s="642"/>
      <c r="D4" s="642"/>
      <c r="E4" s="642"/>
      <c r="F4" s="642"/>
      <c r="G4" s="642"/>
    </row>
    <row r="5" spans="1:7" ht="15">
      <c r="A5" s="642" t="str">
        <f>1!A6</f>
        <v>TAHUN 2009</v>
      </c>
      <c r="B5" s="642"/>
      <c r="C5" s="642"/>
      <c r="D5" s="642"/>
      <c r="E5" s="642"/>
      <c r="F5" s="642"/>
      <c r="G5" s="642"/>
    </row>
    <row r="6" spans="1:7" ht="15.75" thickBot="1">
      <c r="A6" s="114"/>
      <c r="B6" s="9"/>
      <c r="C6" s="9"/>
      <c r="D6" s="9"/>
      <c r="E6" s="9"/>
      <c r="F6" s="9"/>
      <c r="G6" s="9"/>
    </row>
    <row r="7" spans="1:7" ht="19.5" customHeight="1">
      <c r="A7" s="637" t="s">
        <v>2</v>
      </c>
      <c r="B7" s="637" t="s">
        <v>53</v>
      </c>
      <c r="C7" s="257" t="s">
        <v>84</v>
      </c>
      <c r="D7" s="257"/>
      <c r="E7" s="257"/>
      <c r="F7" s="257"/>
      <c r="G7" s="257"/>
    </row>
    <row r="8" spans="1:7" ht="30">
      <c r="A8" s="638"/>
      <c r="B8" s="638"/>
      <c r="C8" s="51" t="s">
        <v>85</v>
      </c>
      <c r="D8" s="194" t="s">
        <v>86</v>
      </c>
      <c r="E8" s="49" t="s">
        <v>520</v>
      </c>
      <c r="F8" s="25" t="s">
        <v>21</v>
      </c>
      <c r="G8" s="322" t="s">
        <v>87</v>
      </c>
    </row>
    <row r="9" spans="1:7" s="18" customFormat="1" ht="15">
      <c r="A9" s="59">
        <v>1</v>
      </c>
      <c r="B9" s="11">
        <v>2</v>
      </c>
      <c r="C9" s="61">
        <v>3</v>
      </c>
      <c r="D9" s="11">
        <v>4</v>
      </c>
      <c r="E9" s="11">
        <v>5</v>
      </c>
      <c r="F9" s="11">
        <v>6</v>
      </c>
      <c r="G9" s="59">
        <v>7</v>
      </c>
    </row>
    <row r="10" spans="1:7" ht="15" customHeight="1">
      <c r="A10" s="183" t="s">
        <v>279</v>
      </c>
      <c r="B10" s="30" t="s">
        <v>886</v>
      </c>
      <c r="C10" s="258"/>
      <c r="D10" s="230"/>
      <c r="E10" s="31"/>
      <c r="F10" s="31"/>
      <c r="G10" s="323"/>
    </row>
    <row r="11" spans="1:7" ht="15" customHeight="1">
      <c r="A11" s="183">
        <f>'35'!A11</f>
        <v>1</v>
      </c>
      <c r="B11" s="30" t="str">
        <f>'35'!B11</f>
        <v>Kotawaringin Barat</v>
      </c>
      <c r="C11" s="258">
        <v>0</v>
      </c>
      <c r="D11" s="230">
        <v>22</v>
      </c>
      <c r="E11" s="31">
        <v>6</v>
      </c>
      <c r="F11" s="31">
        <f aca="true" t="shared" si="0" ref="F11:F24">SUM(C11:E11)</f>
        <v>28</v>
      </c>
      <c r="G11" s="323"/>
    </row>
    <row r="12" spans="1:7" ht="15" customHeight="1">
      <c r="A12" s="183">
        <f>'35'!A12</f>
        <v>2</v>
      </c>
      <c r="B12" s="30" t="str">
        <f>'35'!B12</f>
        <v>Lamandau</v>
      </c>
      <c r="C12" s="258">
        <v>0</v>
      </c>
      <c r="D12" s="230">
        <v>9</v>
      </c>
      <c r="E12" s="31">
        <v>2</v>
      </c>
      <c r="F12" s="31">
        <f t="shared" si="0"/>
        <v>11</v>
      </c>
      <c r="G12" s="323"/>
    </row>
    <row r="13" spans="1:7" ht="15" customHeight="1">
      <c r="A13" s="183">
        <f>'35'!A13</f>
        <v>3</v>
      </c>
      <c r="B13" s="30" t="str">
        <f>'35'!B13</f>
        <v>Sukamara</v>
      </c>
      <c r="C13" s="258">
        <v>0</v>
      </c>
      <c r="D13" s="230">
        <v>11</v>
      </c>
      <c r="E13" s="31">
        <v>0</v>
      </c>
      <c r="F13" s="31">
        <f t="shared" si="0"/>
        <v>11</v>
      </c>
      <c r="G13" s="323"/>
    </row>
    <row r="14" spans="1:7" ht="15" customHeight="1">
      <c r="A14" s="183">
        <f>'35'!A14</f>
        <v>4</v>
      </c>
      <c r="B14" s="30" t="str">
        <f>'35'!B14</f>
        <v>Kotawaringin Timur</v>
      </c>
      <c r="C14" s="258">
        <v>0</v>
      </c>
      <c r="D14" s="230">
        <v>36</v>
      </c>
      <c r="E14" s="31">
        <v>6</v>
      </c>
      <c r="F14" s="31">
        <f t="shared" si="0"/>
        <v>42</v>
      </c>
      <c r="G14" s="323"/>
    </row>
    <row r="15" spans="1:7" ht="15" customHeight="1">
      <c r="A15" s="183">
        <f>'35'!A15</f>
        <v>5</v>
      </c>
      <c r="B15" s="30" t="str">
        <f>'35'!B15</f>
        <v>Seruyan</v>
      </c>
      <c r="C15" s="258">
        <v>0</v>
      </c>
      <c r="D15" s="230">
        <v>9</v>
      </c>
      <c r="E15" s="31">
        <v>1</v>
      </c>
      <c r="F15" s="31">
        <f t="shared" si="0"/>
        <v>10</v>
      </c>
      <c r="G15" s="323"/>
    </row>
    <row r="16" spans="1:7" ht="15" customHeight="1">
      <c r="A16" s="183">
        <f>'35'!A16</f>
        <v>6</v>
      </c>
      <c r="B16" s="30" t="str">
        <f>'35'!B16</f>
        <v>Katingan</v>
      </c>
      <c r="C16" s="258">
        <v>0</v>
      </c>
      <c r="D16" s="230">
        <v>14</v>
      </c>
      <c r="E16" s="31">
        <v>5</v>
      </c>
      <c r="F16" s="31">
        <f t="shared" si="0"/>
        <v>19</v>
      </c>
      <c r="G16" s="323"/>
    </row>
    <row r="17" spans="1:7" ht="15" customHeight="1">
      <c r="A17" s="183">
        <f>'35'!A17</f>
        <v>7</v>
      </c>
      <c r="B17" s="30" t="str">
        <f>'35'!B17</f>
        <v>Kapuas</v>
      </c>
      <c r="C17" s="230">
        <v>0</v>
      </c>
      <c r="D17" s="230">
        <v>23</v>
      </c>
      <c r="E17" s="139">
        <v>10</v>
      </c>
      <c r="F17" s="139">
        <f t="shared" si="0"/>
        <v>33</v>
      </c>
      <c r="G17" s="323"/>
    </row>
    <row r="18" spans="1:7" ht="15" customHeight="1">
      <c r="A18" s="183">
        <f>'35'!A18</f>
        <v>8</v>
      </c>
      <c r="B18" s="30" t="str">
        <f>'35'!B18</f>
        <v>Pulang Pisau</v>
      </c>
      <c r="C18" s="258">
        <v>0</v>
      </c>
      <c r="D18" s="230">
        <v>10</v>
      </c>
      <c r="E18" s="31">
        <v>5</v>
      </c>
      <c r="F18" s="31">
        <f t="shared" si="0"/>
        <v>15</v>
      </c>
      <c r="G18" s="323"/>
    </row>
    <row r="19" spans="1:7" ht="15" customHeight="1">
      <c r="A19" s="183">
        <f>'35'!A19</f>
        <v>9</v>
      </c>
      <c r="B19" s="30" t="str">
        <f>'35'!B19</f>
        <v>Gunung Mas</v>
      </c>
      <c r="C19" s="258">
        <v>0</v>
      </c>
      <c r="D19" s="230">
        <v>16</v>
      </c>
      <c r="E19" s="31">
        <v>0</v>
      </c>
      <c r="F19" s="31">
        <f t="shared" si="0"/>
        <v>16</v>
      </c>
      <c r="G19" s="323"/>
    </row>
    <row r="20" spans="1:7" ht="15" customHeight="1">
      <c r="A20" s="183">
        <f>'35'!A20</f>
        <v>10</v>
      </c>
      <c r="B20" s="30" t="str">
        <f>'35'!B20</f>
        <v>Barito Selatan</v>
      </c>
      <c r="C20" s="258">
        <v>0</v>
      </c>
      <c r="D20" s="230">
        <v>8</v>
      </c>
      <c r="E20" s="31">
        <v>4</v>
      </c>
      <c r="F20" s="31">
        <f t="shared" si="0"/>
        <v>12</v>
      </c>
      <c r="G20" s="323"/>
    </row>
    <row r="21" spans="1:7" ht="15" customHeight="1">
      <c r="A21" s="183">
        <f>'35'!A21</f>
        <v>11</v>
      </c>
      <c r="B21" s="30" t="str">
        <f>'35'!B21</f>
        <v>Barito Timur</v>
      </c>
      <c r="C21" s="230">
        <v>0</v>
      </c>
      <c r="D21" s="230">
        <v>10</v>
      </c>
      <c r="E21" s="139">
        <v>2</v>
      </c>
      <c r="F21" s="139">
        <f t="shared" si="0"/>
        <v>12</v>
      </c>
      <c r="G21" s="323"/>
    </row>
    <row r="22" spans="1:7" ht="15" customHeight="1">
      <c r="A22" s="183">
        <f>'35'!A22</f>
        <v>12</v>
      </c>
      <c r="B22" s="30" t="str">
        <f>'35'!B22</f>
        <v>Barito Utara</v>
      </c>
      <c r="C22" s="230">
        <v>0</v>
      </c>
      <c r="D22" s="230">
        <v>14</v>
      </c>
      <c r="E22" s="139">
        <v>2</v>
      </c>
      <c r="F22" s="139">
        <f t="shared" si="0"/>
        <v>16</v>
      </c>
      <c r="G22" s="323"/>
    </row>
    <row r="23" spans="1:7" ht="15" customHeight="1">
      <c r="A23" s="183">
        <f>'35'!A23</f>
        <v>13</v>
      </c>
      <c r="B23" s="30" t="str">
        <f>'35'!B23</f>
        <v>Murung Raya</v>
      </c>
      <c r="C23" s="230">
        <v>0</v>
      </c>
      <c r="D23" s="230">
        <v>15</v>
      </c>
      <c r="E23" s="139">
        <v>3</v>
      </c>
      <c r="F23" s="139">
        <f t="shared" si="0"/>
        <v>18</v>
      </c>
      <c r="G23" s="323"/>
    </row>
    <row r="24" spans="1:7" ht="15" customHeight="1">
      <c r="A24" s="183">
        <f>'35'!A24</f>
        <v>14</v>
      </c>
      <c r="B24" s="30" t="str">
        <f>'35'!B24</f>
        <v>Palangka Raya</v>
      </c>
      <c r="C24" s="258">
        <v>0</v>
      </c>
      <c r="D24" s="230">
        <v>30</v>
      </c>
      <c r="E24" s="31">
        <v>12</v>
      </c>
      <c r="F24" s="31">
        <f t="shared" si="0"/>
        <v>42</v>
      </c>
      <c r="G24" s="323"/>
    </row>
    <row r="25" spans="1:7" ht="15" customHeight="1">
      <c r="A25" s="232"/>
      <c r="B25" s="35"/>
      <c r="C25" s="324"/>
      <c r="D25" s="233"/>
      <c r="E25" s="36"/>
      <c r="F25" s="36"/>
      <c r="G25" s="325"/>
    </row>
    <row r="26" spans="1:7" ht="15.75" customHeight="1">
      <c r="A26" s="138" t="s">
        <v>62</v>
      </c>
      <c r="B26" s="30"/>
      <c r="C26" s="258">
        <f>SUM(C10:C25)</f>
        <v>0</v>
      </c>
      <c r="D26" s="258">
        <f>SUM(D10:D25)</f>
        <v>227</v>
      </c>
      <c r="E26" s="258">
        <f>SUM(E10:E25)</f>
        <v>58</v>
      </c>
      <c r="F26" s="258">
        <f>SUM(F10:F25)</f>
        <v>285</v>
      </c>
      <c r="G26" s="326"/>
    </row>
    <row r="27" spans="1:7" ht="15" customHeight="1">
      <c r="A27" s="142" t="s">
        <v>871</v>
      </c>
      <c r="B27" s="178" t="s">
        <v>428</v>
      </c>
      <c r="C27" s="327"/>
      <c r="D27" s="140"/>
      <c r="E27" s="196"/>
      <c r="F27" s="196"/>
      <c r="G27" s="328"/>
    </row>
    <row r="28" spans="1:7" ht="15" customHeight="1">
      <c r="A28" s="138">
        <f>'35'!A45</f>
        <v>1</v>
      </c>
      <c r="B28" s="30" t="str">
        <f>'35'!B45</f>
        <v>Dr. St. Imanuddin</v>
      </c>
      <c r="C28" s="258">
        <v>8</v>
      </c>
      <c r="D28" s="139">
        <v>13</v>
      </c>
      <c r="E28" s="31">
        <v>2</v>
      </c>
      <c r="F28" s="31">
        <f>SUM(C28:E28)</f>
        <v>23</v>
      </c>
      <c r="G28" s="323"/>
    </row>
    <row r="29" spans="1:7" ht="15" customHeight="1">
      <c r="A29" s="138">
        <f>'35'!A46</f>
        <v>2</v>
      </c>
      <c r="B29" s="30" t="str">
        <f>'35'!B46</f>
        <v>Lamandau</v>
      </c>
      <c r="C29" s="258">
        <v>1</v>
      </c>
      <c r="D29" s="139">
        <v>4</v>
      </c>
      <c r="E29" s="31">
        <v>0</v>
      </c>
      <c r="F29" s="31">
        <f aca="true" t="shared" si="1" ref="F29:F44">SUM(C29:E29)</f>
        <v>5</v>
      </c>
      <c r="G29" s="323"/>
    </row>
    <row r="30" spans="1:7" ht="15" customHeight="1">
      <c r="A30" s="138">
        <f>'35'!A47</f>
        <v>3</v>
      </c>
      <c r="B30" s="30" t="str">
        <f>'35'!B47</f>
        <v>Sukamara</v>
      </c>
      <c r="C30" s="258">
        <v>0</v>
      </c>
      <c r="D30" s="139">
        <v>4</v>
      </c>
      <c r="E30" s="31">
        <v>0</v>
      </c>
      <c r="F30" s="31">
        <f t="shared" si="1"/>
        <v>4</v>
      </c>
      <c r="G30" s="323"/>
    </row>
    <row r="31" spans="1:7" ht="15" customHeight="1">
      <c r="A31" s="138">
        <f>'35'!A48</f>
        <v>4</v>
      </c>
      <c r="B31" s="30" t="str">
        <f>'35'!B48</f>
        <v>Dr. Murjani</v>
      </c>
      <c r="C31" s="258">
        <v>17</v>
      </c>
      <c r="D31" s="139">
        <v>9</v>
      </c>
      <c r="E31" s="31">
        <v>2</v>
      </c>
      <c r="F31" s="31">
        <f t="shared" si="1"/>
        <v>28</v>
      </c>
      <c r="G31" s="323"/>
    </row>
    <row r="32" spans="1:7" ht="15" customHeight="1">
      <c r="A32" s="138">
        <f>'35'!A49</f>
        <v>5</v>
      </c>
      <c r="B32" s="30" t="str">
        <f>'35'!B49</f>
        <v>Kuala Pembuang</v>
      </c>
      <c r="C32" s="258">
        <v>0</v>
      </c>
      <c r="D32" s="139">
        <v>6</v>
      </c>
      <c r="E32" s="31">
        <v>0</v>
      </c>
      <c r="F32" s="31">
        <f t="shared" si="1"/>
        <v>6</v>
      </c>
      <c r="G32" s="323"/>
    </row>
    <row r="33" spans="1:7" ht="15" customHeight="1">
      <c r="A33" s="138">
        <f>'35'!A50</f>
        <v>6</v>
      </c>
      <c r="B33" s="30" t="str">
        <f>'35'!B50</f>
        <v>Hanua</v>
      </c>
      <c r="C33" s="258">
        <v>0</v>
      </c>
      <c r="D33" s="139">
        <v>5</v>
      </c>
      <c r="E33" s="31">
        <v>1</v>
      </c>
      <c r="F33" s="31">
        <f>SUM(C33:E33)</f>
        <v>6</v>
      </c>
      <c r="G33" s="323"/>
    </row>
    <row r="34" spans="1:7" ht="15" customHeight="1">
      <c r="A34" s="138">
        <f>'35'!A51</f>
        <v>7</v>
      </c>
      <c r="B34" s="30" t="str">
        <f>'35'!B51</f>
        <v>Kasongan</v>
      </c>
      <c r="C34" s="258">
        <v>2</v>
      </c>
      <c r="D34" s="139">
        <v>9</v>
      </c>
      <c r="E34" s="31">
        <v>2</v>
      </c>
      <c r="F34" s="31">
        <f t="shared" si="1"/>
        <v>13</v>
      </c>
      <c r="G34" s="323"/>
    </row>
    <row r="35" spans="1:7" ht="15" customHeight="1">
      <c r="A35" s="138">
        <f>'35'!A52</f>
        <v>8</v>
      </c>
      <c r="B35" s="30" t="str">
        <f>'35'!B52</f>
        <v>Dr. Soemarno SA</v>
      </c>
      <c r="C35" s="258">
        <v>4</v>
      </c>
      <c r="D35" s="139">
        <v>8</v>
      </c>
      <c r="E35" s="31">
        <v>2</v>
      </c>
      <c r="F35" s="31">
        <f t="shared" si="1"/>
        <v>14</v>
      </c>
      <c r="G35" s="323"/>
    </row>
    <row r="36" spans="1:7" ht="15" customHeight="1">
      <c r="A36" s="138">
        <f>'35'!A53</f>
        <v>9</v>
      </c>
      <c r="B36" s="30" t="str">
        <f>'35'!B53</f>
        <v>Pulang Pisau</v>
      </c>
      <c r="C36" s="258">
        <v>0</v>
      </c>
      <c r="D36" s="139">
        <v>4</v>
      </c>
      <c r="E36" s="31">
        <v>0</v>
      </c>
      <c r="F36" s="31">
        <f t="shared" si="1"/>
        <v>4</v>
      </c>
      <c r="G36" s="323"/>
    </row>
    <row r="37" spans="1:7" ht="15" customHeight="1">
      <c r="A37" s="138">
        <f>'35'!A54</f>
        <v>10</v>
      </c>
      <c r="B37" s="30" t="str">
        <f>'35'!B54</f>
        <v>Kuala Kurun</v>
      </c>
      <c r="C37" s="258">
        <v>1</v>
      </c>
      <c r="D37" s="139">
        <v>6</v>
      </c>
      <c r="E37" s="31">
        <v>2</v>
      </c>
      <c r="F37" s="31">
        <f t="shared" si="1"/>
        <v>9</v>
      </c>
      <c r="G37" s="323"/>
    </row>
    <row r="38" spans="1:7" ht="15" customHeight="1">
      <c r="A38" s="138">
        <f>'35'!A55</f>
        <v>11</v>
      </c>
      <c r="B38" s="30" t="str">
        <f>'35'!B55</f>
        <v>Buntok</v>
      </c>
      <c r="C38" s="258">
        <v>4</v>
      </c>
      <c r="D38" s="139">
        <v>10</v>
      </c>
      <c r="E38" s="31">
        <v>1</v>
      </c>
      <c r="F38" s="31">
        <f t="shared" si="1"/>
        <v>15</v>
      </c>
      <c r="G38" s="323"/>
    </row>
    <row r="39" spans="1:7" ht="15" customHeight="1">
      <c r="A39" s="138">
        <f>'35'!A56</f>
        <v>12</v>
      </c>
      <c r="B39" s="30" t="str">
        <f>'35'!B56</f>
        <v>Tamiang Layang</v>
      </c>
      <c r="C39" s="258">
        <v>1</v>
      </c>
      <c r="D39" s="139">
        <v>6</v>
      </c>
      <c r="E39" s="31">
        <v>1</v>
      </c>
      <c r="F39" s="31">
        <f t="shared" si="1"/>
        <v>8</v>
      </c>
      <c r="G39" s="323"/>
    </row>
    <row r="40" spans="1:7" ht="15" customHeight="1">
      <c r="A40" s="138">
        <f>'35'!A57</f>
        <v>13</v>
      </c>
      <c r="B40" s="30" t="str">
        <f>'35'!B57</f>
        <v>Muara Teweh</v>
      </c>
      <c r="C40" s="230">
        <v>4</v>
      </c>
      <c r="D40" s="139">
        <v>7</v>
      </c>
      <c r="E40" s="139">
        <v>1</v>
      </c>
      <c r="F40" s="139">
        <f t="shared" si="1"/>
        <v>12</v>
      </c>
      <c r="G40" s="323"/>
    </row>
    <row r="41" spans="1:7" ht="15" customHeight="1">
      <c r="A41" s="138">
        <f>'35'!A58</f>
        <v>14</v>
      </c>
      <c r="B41" s="30" t="str">
        <f>'35'!B58</f>
        <v>Puruk Cahu</v>
      </c>
      <c r="C41" s="258">
        <v>1</v>
      </c>
      <c r="D41" s="139">
        <v>8</v>
      </c>
      <c r="E41" s="31">
        <v>1</v>
      </c>
      <c r="F41" s="31">
        <f t="shared" si="1"/>
        <v>10</v>
      </c>
      <c r="G41" s="323"/>
    </row>
    <row r="42" spans="1:7" ht="15" customHeight="1">
      <c r="A42" s="138">
        <f>'35'!A59</f>
        <v>15</v>
      </c>
      <c r="B42" s="30" t="str">
        <f>'35'!B59</f>
        <v>Dr. Doris Sylvanus</v>
      </c>
      <c r="C42" s="258">
        <v>20</v>
      </c>
      <c r="D42" s="139">
        <v>32</v>
      </c>
      <c r="E42" s="31">
        <v>3</v>
      </c>
      <c r="F42" s="31">
        <f t="shared" si="1"/>
        <v>55</v>
      </c>
      <c r="G42" s="323"/>
    </row>
    <row r="43" spans="1:7" ht="15" customHeight="1">
      <c r="A43" s="138">
        <v>16</v>
      </c>
      <c r="B43" s="30" t="s">
        <v>900</v>
      </c>
      <c r="C43" s="258">
        <v>0</v>
      </c>
      <c r="D43" s="139">
        <v>2</v>
      </c>
      <c r="E43" s="31">
        <v>0</v>
      </c>
      <c r="F43" s="31">
        <f t="shared" si="1"/>
        <v>2</v>
      </c>
      <c r="G43" s="323"/>
    </row>
    <row r="44" spans="1:7" ht="15" customHeight="1">
      <c r="A44" s="138">
        <v>17</v>
      </c>
      <c r="B44" s="30" t="s">
        <v>913</v>
      </c>
      <c r="C44" s="258">
        <v>1</v>
      </c>
      <c r="D44" s="139">
        <v>3</v>
      </c>
      <c r="E44" s="31">
        <v>0</v>
      </c>
      <c r="F44" s="31">
        <f t="shared" si="1"/>
        <v>4</v>
      </c>
      <c r="G44" s="323"/>
    </row>
    <row r="45" spans="1:7" ht="15" customHeight="1">
      <c r="A45" s="138"/>
      <c r="B45" s="30"/>
      <c r="C45" s="258"/>
      <c r="D45" s="139"/>
      <c r="E45" s="31"/>
      <c r="F45" s="31"/>
      <c r="G45" s="323"/>
    </row>
    <row r="46" spans="1:7" ht="18.75" customHeight="1">
      <c r="A46" s="142" t="s">
        <v>63</v>
      </c>
      <c r="B46" s="178"/>
      <c r="C46" s="327">
        <f>SUM(C27:C45)</f>
        <v>64</v>
      </c>
      <c r="D46" s="327">
        <f>SUM(D27:D45)</f>
        <v>136</v>
      </c>
      <c r="E46" s="327">
        <f>SUM(E27:E45)</f>
        <v>18</v>
      </c>
      <c r="F46" s="327">
        <f>SUM(F27:F45)</f>
        <v>218</v>
      </c>
      <c r="G46" s="329"/>
    </row>
    <row r="47" spans="1:7" ht="17.25" customHeight="1">
      <c r="A47" s="528" t="s">
        <v>64</v>
      </c>
      <c r="B47" s="178"/>
      <c r="C47" s="327">
        <f>SUM(C48:C51)</f>
        <v>0</v>
      </c>
      <c r="D47" s="327">
        <f>SUM(D48:D51)</f>
        <v>1</v>
      </c>
      <c r="E47" s="327">
        <f>SUM(E48:E51)</f>
        <v>0</v>
      </c>
      <c r="F47" s="109">
        <f>SUM(C47:E47)</f>
        <v>1</v>
      </c>
      <c r="G47" s="328"/>
    </row>
    <row r="48" spans="1:7" ht="15" customHeight="1">
      <c r="A48" s="528">
        <f>'53'!A46</f>
        <v>1</v>
      </c>
      <c r="B48" s="178" t="str">
        <f>'53'!B46</f>
        <v>Akper Kapuas</v>
      </c>
      <c r="C48" s="196">
        <v>0</v>
      </c>
      <c r="D48" s="140">
        <v>0</v>
      </c>
      <c r="E48" s="196">
        <v>0</v>
      </c>
      <c r="F48" s="31">
        <f>SUM(C48:E48)</f>
        <v>0</v>
      </c>
      <c r="G48" s="329"/>
    </row>
    <row r="49" spans="1:7" ht="15" customHeight="1">
      <c r="A49" s="183">
        <f>'53'!A47</f>
        <v>2</v>
      </c>
      <c r="B49" s="30" t="str">
        <f>'53'!B47</f>
        <v>Akper Sampit</v>
      </c>
      <c r="C49" s="139">
        <v>0</v>
      </c>
      <c r="D49" s="139">
        <v>0</v>
      </c>
      <c r="E49" s="139">
        <v>0</v>
      </c>
      <c r="F49" s="31">
        <f>SUM(C49:E49)</f>
        <v>0</v>
      </c>
      <c r="G49" s="326"/>
    </row>
    <row r="50" spans="1:7" ht="15" customHeight="1">
      <c r="A50" s="183">
        <f>'53'!A48</f>
        <v>3</v>
      </c>
      <c r="B50" s="30" t="str">
        <f>'53'!B48</f>
        <v>Poltekes *)</v>
      </c>
      <c r="C50" s="31">
        <v>0</v>
      </c>
      <c r="D50" s="139">
        <v>0</v>
      </c>
      <c r="E50" s="31">
        <v>0</v>
      </c>
      <c r="F50" s="31">
        <f>SUM(C50:E50)</f>
        <v>0</v>
      </c>
      <c r="G50" s="326"/>
    </row>
    <row r="51" spans="1:7" ht="15" customHeight="1">
      <c r="A51" s="183">
        <f>'53'!A49</f>
        <v>4</v>
      </c>
      <c r="B51" s="30" t="str">
        <f>'53'!B49</f>
        <v>Bapelkes Palangka Raya</v>
      </c>
      <c r="C51" s="31">
        <v>0</v>
      </c>
      <c r="D51" s="139">
        <v>1</v>
      </c>
      <c r="E51" s="31">
        <v>0</v>
      </c>
      <c r="F51" s="31">
        <f>SUM(C51:E51)</f>
        <v>1</v>
      </c>
      <c r="G51" s="326"/>
    </row>
    <row r="52" spans="1:7" ht="15" customHeight="1">
      <c r="A52" s="183"/>
      <c r="B52" s="30"/>
      <c r="C52" s="258"/>
      <c r="D52" s="139"/>
      <c r="E52" s="31"/>
      <c r="F52" s="31"/>
      <c r="G52" s="323"/>
    </row>
    <row r="53" spans="1:7" ht="17.25" customHeight="1">
      <c r="A53" s="528" t="s">
        <v>65</v>
      </c>
      <c r="B53" s="178"/>
      <c r="C53" s="327">
        <f>SUM(C54:C61)</f>
        <v>0</v>
      </c>
      <c r="D53" s="327">
        <f>SUM(D54:D61)</f>
        <v>14</v>
      </c>
      <c r="E53" s="327">
        <f>SUM(E54:E61)</f>
        <v>0</v>
      </c>
      <c r="F53" s="109">
        <f aca="true" t="shared" si="2" ref="F53:F60">SUM(C53:E53)</f>
        <v>14</v>
      </c>
      <c r="G53" s="328"/>
    </row>
    <row r="54" spans="1:7" s="18" customFormat="1" ht="15" customHeight="1">
      <c r="A54" s="142">
        <f>'53'!A52</f>
        <v>1</v>
      </c>
      <c r="B54" s="178" t="str">
        <f>'53'!B52</f>
        <v>KKP Sampit</v>
      </c>
      <c r="C54" s="196">
        <v>0</v>
      </c>
      <c r="D54" s="140">
        <v>2</v>
      </c>
      <c r="E54" s="196">
        <v>0</v>
      </c>
      <c r="F54" s="31">
        <f t="shared" si="2"/>
        <v>2</v>
      </c>
      <c r="G54" s="328"/>
    </row>
    <row r="55" spans="1:7" s="18" customFormat="1" ht="15" customHeight="1">
      <c r="A55" s="138">
        <f>'53'!A53</f>
        <v>2</v>
      </c>
      <c r="B55" s="30" t="str">
        <f>'53'!B53</f>
        <v>KKP Pulang Pisau</v>
      </c>
      <c r="C55" s="31">
        <v>0</v>
      </c>
      <c r="D55" s="139">
        <v>0</v>
      </c>
      <c r="E55" s="31">
        <v>0</v>
      </c>
      <c r="F55" s="31">
        <f t="shared" si="2"/>
        <v>0</v>
      </c>
      <c r="G55" s="323"/>
    </row>
    <row r="56" spans="1:7" s="18" customFormat="1" ht="15" customHeight="1">
      <c r="A56" s="138">
        <v>3</v>
      </c>
      <c r="B56" s="30" t="str">
        <f>'53'!B54</f>
        <v>Labkesda/GFK Kuala Kapuas</v>
      </c>
      <c r="C56" s="31">
        <v>0</v>
      </c>
      <c r="D56" s="139">
        <v>1</v>
      </c>
      <c r="E56" s="31">
        <v>0</v>
      </c>
      <c r="F56" s="31">
        <f t="shared" si="2"/>
        <v>1</v>
      </c>
      <c r="G56" s="323"/>
    </row>
    <row r="57" spans="1:7" s="18" customFormat="1" ht="15" customHeight="1">
      <c r="A57" s="138">
        <v>4</v>
      </c>
      <c r="B57" s="522" t="s">
        <v>691</v>
      </c>
      <c r="C57" s="31">
        <v>0</v>
      </c>
      <c r="D57" s="139">
        <v>0</v>
      </c>
      <c r="E57" s="31">
        <v>0</v>
      </c>
      <c r="F57" s="31">
        <f t="shared" si="2"/>
        <v>0</v>
      </c>
      <c r="G57" s="323"/>
    </row>
    <row r="58" spans="1:7" s="18" customFormat="1" ht="15" customHeight="1">
      <c r="A58" s="138">
        <f>'53'!A56</f>
        <v>5</v>
      </c>
      <c r="B58" s="30" t="str">
        <f>'53'!B56</f>
        <v>Balai Keswamas Palangka Raya</v>
      </c>
      <c r="C58" s="31">
        <v>0</v>
      </c>
      <c r="D58" s="139">
        <v>6</v>
      </c>
      <c r="E58" s="31">
        <v>0</v>
      </c>
      <c r="F58" s="31">
        <f t="shared" si="2"/>
        <v>6</v>
      </c>
      <c r="G58" s="323"/>
    </row>
    <row r="59" spans="1:7" s="18" customFormat="1" ht="15" customHeight="1">
      <c r="A59" s="138">
        <f>'53'!A57</f>
        <v>6</v>
      </c>
      <c r="B59" s="30" t="str">
        <f>'53'!B57</f>
        <v>Balai Labkes Palangka Raya</v>
      </c>
      <c r="C59" s="31">
        <v>0</v>
      </c>
      <c r="D59" s="139">
        <v>3</v>
      </c>
      <c r="E59" s="31">
        <v>0</v>
      </c>
      <c r="F59" s="31">
        <f t="shared" si="2"/>
        <v>3</v>
      </c>
      <c r="G59" s="323"/>
    </row>
    <row r="60" spans="1:7" s="18" customFormat="1" ht="15" customHeight="1">
      <c r="A60" s="138">
        <f>'53'!A58</f>
        <v>7</v>
      </c>
      <c r="B60" s="30" t="str">
        <f>'53'!B58</f>
        <v>Badan POM Palangka Raya *)</v>
      </c>
      <c r="C60" s="31"/>
      <c r="D60" s="139"/>
      <c r="E60" s="31"/>
      <c r="F60" s="31">
        <f t="shared" si="2"/>
        <v>0</v>
      </c>
      <c r="G60" s="323"/>
    </row>
    <row r="61" spans="1:7" s="18" customFormat="1" ht="15" customHeight="1">
      <c r="A61" s="138">
        <f>'53'!A59</f>
        <v>8</v>
      </c>
      <c r="B61" s="30" t="str">
        <f>'53'!B59</f>
        <v>Labkesda/GFK Sampit</v>
      </c>
      <c r="C61" s="31">
        <v>0</v>
      </c>
      <c r="D61" s="139">
        <v>2</v>
      </c>
      <c r="E61" s="31">
        <v>0</v>
      </c>
      <c r="F61" s="31">
        <f>SUM(C61:E61)</f>
        <v>2</v>
      </c>
      <c r="G61" s="323"/>
    </row>
    <row r="62" spans="1:7" s="18" customFormat="1" ht="15" customHeight="1">
      <c r="A62" s="158"/>
      <c r="B62" s="35"/>
      <c r="C62" s="36"/>
      <c r="D62" s="164"/>
      <c r="E62" s="36"/>
      <c r="F62" s="36"/>
      <c r="G62" s="325"/>
    </row>
    <row r="63" spans="1:7" ht="15.75" customHeight="1">
      <c r="A63" s="183" t="s">
        <v>66</v>
      </c>
      <c r="B63" s="30"/>
      <c r="C63" s="258">
        <f>SUM(C64:C78)</f>
        <v>2</v>
      </c>
      <c r="D63" s="258">
        <f>SUM(D64:D78)</f>
        <v>30</v>
      </c>
      <c r="E63" s="258">
        <f>SUM(E64:E78)</f>
        <v>10</v>
      </c>
      <c r="F63" s="109">
        <f>SUM(C63:E63)</f>
        <v>42</v>
      </c>
      <c r="G63" s="323"/>
    </row>
    <row r="64" spans="1:7" s="18" customFormat="1" ht="15.75" customHeight="1">
      <c r="A64" s="142">
        <f>'53'!A62</f>
        <v>1</v>
      </c>
      <c r="B64" s="178" t="str">
        <f>'53'!B62</f>
        <v>Kotawaringin Barat</v>
      </c>
      <c r="C64" s="196">
        <v>0</v>
      </c>
      <c r="D64" s="140">
        <v>1</v>
      </c>
      <c r="E64" s="196">
        <v>2</v>
      </c>
      <c r="F64" s="31">
        <f aca="true" t="shared" si="3" ref="F64:F78">SUM(C64:E64)</f>
        <v>3</v>
      </c>
      <c r="G64" s="328"/>
    </row>
    <row r="65" spans="1:7" s="18" customFormat="1" ht="15.75" customHeight="1">
      <c r="A65" s="138">
        <f>'53'!A63</f>
        <v>2</v>
      </c>
      <c r="B65" s="30" t="str">
        <f>'53'!B63</f>
        <v>Lamandau</v>
      </c>
      <c r="C65" s="31">
        <v>0</v>
      </c>
      <c r="D65" s="139">
        <v>5</v>
      </c>
      <c r="E65" s="31">
        <v>0</v>
      </c>
      <c r="F65" s="31">
        <f t="shared" si="3"/>
        <v>5</v>
      </c>
      <c r="G65" s="323"/>
    </row>
    <row r="66" spans="1:7" s="18" customFormat="1" ht="15.75" customHeight="1">
      <c r="A66" s="138">
        <f>'53'!A64</f>
        <v>3</v>
      </c>
      <c r="B66" s="30" t="str">
        <f>'53'!B64</f>
        <v>Sukamara</v>
      </c>
      <c r="C66" s="31">
        <v>0</v>
      </c>
      <c r="D66" s="139">
        <v>1</v>
      </c>
      <c r="E66" s="31">
        <v>1</v>
      </c>
      <c r="F66" s="31">
        <f t="shared" si="3"/>
        <v>2</v>
      </c>
      <c r="G66" s="323"/>
    </row>
    <row r="67" spans="1:7" s="18" customFormat="1" ht="15.75" customHeight="1">
      <c r="A67" s="138">
        <f>'53'!A65</f>
        <v>4</v>
      </c>
      <c r="B67" s="30" t="str">
        <f>'53'!B65</f>
        <v>Kotawaringin Timur</v>
      </c>
      <c r="C67" s="31">
        <v>0</v>
      </c>
      <c r="D67" s="139">
        <v>3</v>
      </c>
      <c r="E67" s="31">
        <v>0</v>
      </c>
      <c r="F67" s="31">
        <f t="shared" si="3"/>
        <v>3</v>
      </c>
      <c r="G67" s="323"/>
    </row>
    <row r="68" spans="1:7" s="18" customFormat="1" ht="15.75" customHeight="1">
      <c r="A68" s="138">
        <f>'53'!A66</f>
        <v>5</v>
      </c>
      <c r="B68" s="30" t="str">
        <f>'53'!B66</f>
        <v>Seruyan</v>
      </c>
      <c r="C68" s="31">
        <v>0</v>
      </c>
      <c r="D68" s="139">
        <v>1</v>
      </c>
      <c r="E68" s="31">
        <v>0</v>
      </c>
      <c r="F68" s="31">
        <f t="shared" si="3"/>
        <v>1</v>
      </c>
      <c r="G68" s="323"/>
    </row>
    <row r="69" spans="1:7" s="18" customFormat="1" ht="15.75" customHeight="1">
      <c r="A69" s="138">
        <f>'53'!A67</f>
        <v>6</v>
      </c>
      <c r="B69" s="30" t="str">
        <f>'53'!B67</f>
        <v>Katingan</v>
      </c>
      <c r="C69" s="31">
        <v>0</v>
      </c>
      <c r="D69" s="139">
        <v>3</v>
      </c>
      <c r="E69" s="31">
        <v>0</v>
      </c>
      <c r="F69" s="31">
        <f t="shared" si="3"/>
        <v>3</v>
      </c>
      <c r="G69" s="323"/>
    </row>
    <row r="70" spans="1:7" s="18" customFormat="1" ht="15.75" customHeight="1">
      <c r="A70" s="138">
        <f>'53'!A68</f>
        <v>7</v>
      </c>
      <c r="B70" s="30" t="str">
        <f>'53'!B68</f>
        <v>Kapuas</v>
      </c>
      <c r="C70" s="31">
        <v>0</v>
      </c>
      <c r="D70" s="139">
        <v>1</v>
      </c>
      <c r="E70" s="31">
        <v>0</v>
      </c>
      <c r="F70" s="31">
        <f t="shared" si="3"/>
        <v>1</v>
      </c>
      <c r="G70" s="323"/>
    </row>
    <row r="71" spans="1:7" s="18" customFormat="1" ht="15.75" customHeight="1">
      <c r="A71" s="138">
        <f>'53'!A69</f>
        <v>8</v>
      </c>
      <c r="B71" s="30" t="str">
        <f>'53'!B69</f>
        <v>Pulang Pisau</v>
      </c>
      <c r="C71" s="31">
        <v>0</v>
      </c>
      <c r="D71" s="139">
        <v>3</v>
      </c>
      <c r="E71" s="31">
        <v>1</v>
      </c>
      <c r="F71" s="31">
        <f t="shared" si="3"/>
        <v>4</v>
      </c>
      <c r="G71" s="323"/>
    </row>
    <row r="72" spans="1:7" s="18" customFormat="1" ht="15.75" customHeight="1">
      <c r="A72" s="138">
        <f>'53'!A70</f>
        <v>9</v>
      </c>
      <c r="B72" s="30" t="str">
        <f>'53'!B70</f>
        <v>Gunung Mas</v>
      </c>
      <c r="C72" s="31">
        <v>0</v>
      </c>
      <c r="D72" s="139">
        <v>1</v>
      </c>
      <c r="E72" s="31">
        <v>0</v>
      </c>
      <c r="F72" s="31">
        <f t="shared" si="3"/>
        <v>1</v>
      </c>
      <c r="G72" s="323"/>
    </row>
    <row r="73" spans="1:7" s="18" customFormat="1" ht="15.75" customHeight="1">
      <c r="A73" s="138">
        <f>'53'!A71</f>
        <v>10</v>
      </c>
      <c r="B73" s="30" t="str">
        <f>'53'!B71</f>
        <v>Barito Selatan</v>
      </c>
      <c r="C73" s="31">
        <v>0</v>
      </c>
      <c r="D73" s="139">
        <v>5</v>
      </c>
      <c r="E73" s="31">
        <v>2</v>
      </c>
      <c r="F73" s="31">
        <f t="shared" si="3"/>
        <v>7</v>
      </c>
      <c r="G73" s="323"/>
    </row>
    <row r="74" spans="1:7" s="18" customFormat="1" ht="15.75" customHeight="1">
      <c r="A74" s="138">
        <f>'53'!A72</f>
        <v>11</v>
      </c>
      <c r="B74" s="30" t="str">
        <f>'53'!B72</f>
        <v>Barito Timur</v>
      </c>
      <c r="C74" s="139">
        <v>0</v>
      </c>
      <c r="D74" s="139">
        <v>0</v>
      </c>
      <c r="E74" s="139">
        <v>0</v>
      </c>
      <c r="F74" s="139">
        <f t="shared" si="3"/>
        <v>0</v>
      </c>
      <c r="G74" s="323"/>
    </row>
    <row r="75" spans="1:7" s="18" customFormat="1" ht="15.75" customHeight="1">
      <c r="A75" s="138">
        <f>'53'!A73</f>
        <v>12</v>
      </c>
      <c r="B75" s="30" t="str">
        <f>'53'!B73</f>
        <v>Barito Utara</v>
      </c>
      <c r="C75" s="31">
        <v>0</v>
      </c>
      <c r="D75" s="139">
        <v>1</v>
      </c>
      <c r="E75" s="31">
        <v>1</v>
      </c>
      <c r="F75" s="31">
        <f t="shared" si="3"/>
        <v>2</v>
      </c>
      <c r="G75" s="323"/>
    </row>
    <row r="76" spans="1:7" s="18" customFormat="1" ht="15.75" customHeight="1">
      <c r="A76" s="138">
        <f>'53'!A74</f>
        <v>13</v>
      </c>
      <c r="B76" s="30" t="str">
        <f>'53'!B74</f>
        <v>Murung Raya</v>
      </c>
      <c r="C76" s="31">
        <v>1</v>
      </c>
      <c r="D76" s="139">
        <v>0</v>
      </c>
      <c r="E76" s="31">
        <v>0</v>
      </c>
      <c r="F76" s="31">
        <f t="shared" si="3"/>
        <v>1</v>
      </c>
      <c r="G76" s="323"/>
    </row>
    <row r="77" spans="1:7" s="18" customFormat="1" ht="15.75" customHeight="1">
      <c r="A77" s="138">
        <f>'53'!A75</f>
        <v>14</v>
      </c>
      <c r="B77" s="30" t="str">
        <f>'53'!B75</f>
        <v>Palangka Raya</v>
      </c>
      <c r="C77" s="31">
        <v>0</v>
      </c>
      <c r="D77" s="139">
        <v>0</v>
      </c>
      <c r="E77" s="31">
        <v>2</v>
      </c>
      <c r="F77" s="31">
        <f t="shared" si="3"/>
        <v>2</v>
      </c>
      <c r="G77" s="323"/>
    </row>
    <row r="78" spans="1:7" s="18" customFormat="1" ht="15.75" customHeight="1">
      <c r="A78" s="138">
        <f>'53'!A76</f>
        <v>15</v>
      </c>
      <c r="B78" s="30" t="str">
        <f>'53'!B76</f>
        <v>Provinsi Kalimantan Tengah</v>
      </c>
      <c r="C78" s="31">
        <v>1</v>
      </c>
      <c r="D78" s="139">
        <v>5</v>
      </c>
      <c r="E78" s="31">
        <v>1</v>
      </c>
      <c r="F78" s="31">
        <f t="shared" si="3"/>
        <v>7</v>
      </c>
      <c r="G78" s="323"/>
    </row>
    <row r="79" spans="1:7" s="18" customFormat="1" ht="15.75" customHeight="1">
      <c r="A79" s="158"/>
      <c r="B79" s="35"/>
      <c r="C79" s="36"/>
      <c r="D79" s="164"/>
      <c r="E79" s="36"/>
      <c r="F79" s="36"/>
      <c r="G79" s="325"/>
    </row>
    <row r="80" spans="1:7" ht="16.5" customHeight="1">
      <c r="A80" s="158" t="s">
        <v>859</v>
      </c>
      <c r="B80" s="35"/>
      <c r="C80" s="324">
        <f>C26+C46+C47+C53+C63</f>
        <v>66</v>
      </c>
      <c r="D80" s="324">
        <f>D26+D46+D47+D53+D63</f>
        <v>408</v>
      </c>
      <c r="E80" s="324">
        <f>E26+E46+E47+E53+E63</f>
        <v>86</v>
      </c>
      <c r="F80" s="36">
        <f>SUM(C80:E80)</f>
        <v>560</v>
      </c>
      <c r="G80" s="325"/>
    </row>
    <row r="81" spans="1:7" ht="16.5" customHeight="1" thickBot="1">
      <c r="A81" s="243" t="s">
        <v>94</v>
      </c>
      <c r="B81" s="39"/>
      <c r="C81" s="332">
        <f>C80/1!D27*100000</f>
        <v>4842.259721203228</v>
      </c>
      <c r="D81" s="332">
        <f>D80/1!G27*100000</f>
        <v>18.684158947239233</v>
      </c>
      <c r="E81" s="332">
        <f>E80/1!G27*100000</f>
        <v>3.938327621231799</v>
      </c>
      <c r="F81" s="334"/>
      <c r="G81" s="334"/>
    </row>
    <row r="82" spans="1:11" ht="15">
      <c r="A82" s="745" t="s">
        <v>957</v>
      </c>
      <c r="B82" s="745"/>
      <c r="C82" s="745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14" t="s">
        <v>958</v>
      </c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14" t="s">
        <v>961</v>
      </c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14" t="s">
        <v>960</v>
      </c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14" t="s">
        <v>959</v>
      </c>
      <c r="C86" s="42"/>
      <c r="D86" s="42"/>
      <c r="E86" s="42"/>
      <c r="F86" s="42"/>
      <c r="G86" s="42"/>
      <c r="H86" s="42"/>
      <c r="I86" s="42"/>
      <c r="J86" s="42"/>
      <c r="K86" s="42"/>
    </row>
    <row r="87" spans="1:7" ht="15">
      <c r="A87" s="133" t="s">
        <v>14</v>
      </c>
      <c r="G87" s="511"/>
    </row>
    <row r="88" ht="15">
      <c r="B88" s="14" t="s">
        <v>950</v>
      </c>
    </row>
  </sheetData>
  <mergeCells count="6">
    <mergeCell ref="A82:C82"/>
    <mergeCell ref="A7:A8"/>
    <mergeCell ref="B7:B8"/>
    <mergeCell ref="A3:G3"/>
    <mergeCell ref="A4:G4"/>
    <mergeCell ref="A5:G5"/>
  </mergeCells>
  <printOptions horizontalCentered="1"/>
  <pageMargins left="0.11811023622047245" right="0.7086614173228347" top="0.7874015748031497" bottom="0.7874015748031497" header="0" footer="0.7874015748031497"/>
  <pageSetup horizontalDpi="300" verticalDpi="300" orientation="portrait" paperSize="9" scale="54" r:id="rId2"/>
  <headerFooter alignWithMargins="0">
    <oddFooter>&amp;C112</oddFoot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36"/>
  <dimension ref="A1:K89"/>
  <sheetViews>
    <sheetView zoomScale="75" zoomScaleNormal="75" workbookViewId="0" topLeftCell="A37">
      <selection activeCell="A83" sqref="A83:B89"/>
    </sheetView>
  </sheetViews>
  <sheetFormatPr defaultColWidth="9.140625" defaultRowHeight="12.75"/>
  <cols>
    <col min="1" max="1" width="5.7109375" style="133" customWidth="1"/>
    <col min="2" max="2" width="35.7109375" style="14" customWidth="1"/>
    <col min="3" max="5" width="14.7109375" style="14" customWidth="1"/>
    <col min="6" max="6" width="15.7109375" style="14" customWidth="1"/>
    <col min="7" max="11" width="14.7109375" style="14" customWidth="1"/>
    <col min="12" max="16384" width="9.140625" style="14" customWidth="1"/>
  </cols>
  <sheetData>
    <row r="1" ht="15">
      <c r="A1" s="132" t="s">
        <v>498</v>
      </c>
    </row>
    <row r="3" spans="1:11" ht="15">
      <c r="A3" s="641" t="s">
        <v>111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</row>
    <row r="4" spans="1:11" ht="15">
      <c r="A4" s="641" t="str">
        <f>1!A5</f>
        <v>PROVINSI KALIMANTAN TENGAH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</row>
    <row r="5" spans="1:11" ht="15">
      <c r="A5" s="641" t="str">
        <f>1!A6</f>
        <v>TAHUN 2009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</row>
    <row r="6" spans="1:11" ht="15.75" thickBot="1">
      <c r="A6" s="114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9.5" customHeight="1">
      <c r="A7" s="637" t="s">
        <v>2</v>
      </c>
      <c r="B7" s="637" t="s">
        <v>53</v>
      </c>
      <c r="C7" s="257" t="s">
        <v>103</v>
      </c>
      <c r="D7" s="257"/>
      <c r="E7" s="257"/>
      <c r="F7" s="257"/>
      <c r="G7" s="257"/>
      <c r="H7" s="257" t="s">
        <v>96</v>
      </c>
      <c r="I7" s="257"/>
      <c r="J7" s="257"/>
      <c r="K7" s="257"/>
    </row>
    <row r="8" spans="1:11" ht="19.5" customHeight="1">
      <c r="A8" s="638"/>
      <c r="B8" s="638"/>
      <c r="C8" s="194" t="s">
        <v>97</v>
      </c>
      <c r="D8" s="49" t="s">
        <v>102</v>
      </c>
      <c r="E8" s="337" t="s">
        <v>119</v>
      </c>
      <c r="F8" s="3" t="s">
        <v>120</v>
      </c>
      <c r="G8" s="335" t="s">
        <v>21</v>
      </c>
      <c r="H8" s="194" t="s">
        <v>101</v>
      </c>
      <c r="I8" s="194" t="s">
        <v>99</v>
      </c>
      <c r="J8" s="194" t="s">
        <v>98</v>
      </c>
      <c r="K8" s="336" t="s">
        <v>21</v>
      </c>
    </row>
    <row r="9" spans="1:11" s="18" customFormat="1" ht="15">
      <c r="A9" s="59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</row>
    <row r="10" spans="1:11" ht="15" customHeight="1">
      <c r="A10" s="183" t="s">
        <v>279</v>
      </c>
      <c r="B10" s="30" t="s">
        <v>886</v>
      </c>
      <c r="C10" s="258"/>
      <c r="D10" s="230"/>
      <c r="E10" s="230"/>
      <c r="F10" s="31"/>
      <c r="G10" s="31"/>
      <c r="H10" s="31"/>
      <c r="I10" s="139"/>
      <c r="J10" s="196"/>
      <c r="K10" s="196"/>
    </row>
    <row r="11" spans="1:11" ht="15" customHeight="1">
      <c r="A11" s="183">
        <f>'55'!A11</f>
        <v>1</v>
      </c>
      <c r="B11" s="30" t="str">
        <f>'55'!B11</f>
        <v>Kotawaringin Barat</v>
      </c>
      <c r="C11" s="258">
        <v>0</v>
      </c>
      <c r="D11" s="230">
        <v>2</v>
      </c>
      <c r="E11" s="230">
        <v>4</v>
      </c>
      <c r="F11" s="31">
        <v>8</v>
      </c>
      <c r="G11" s="31">
        <f aca="true" t="shared" si="0" ref="G11:G19">SUM(C11:F11)</f>
        <v>14</v>
      </c>
      <c r="H11" s="139">
        <v>0</v>
      </c>
      <c r="I11" s="139">
        <v>9</v>
      </c>
      <c r="J11" s="139">
        <v>4</v>
      </c>
      <c r="K11" s="139">
        <f aca="true" t="shared" si="1" ref="K11:K19">SUM(H11:J11)</f>
        <v>13</v>
      </c>
    </row>
    <row r="12" spans="1:11" ht="15" customHeight="1">
      <c r="A12" s="183">
        <f>'55'!A12</f>
        <v>2</v>
      </c>
      <c r="B12" s="30" t="str">
        <f>'55'!B12</f>
        <v>Lamandau</v>
      </c>
      <c r="C12" s="258">
        <v>1</v>
      </c>
      <c r="D12" s="230">
        <v>0</v>
      </c>
      <c r="E12" s="230">
        <v>2</v>
      </c>
      <c r="F12" s="31">
        <v>0</v>
      </c>
      <c r="G12" s="31">
        <f t="shared" si="0"/>
        <v>3</v>
      </c>
      <c r="H12" s="31">
        <v>0</v>
      </c>
      <c r="I12" s="139">
        <v>14</v>
      </c>
      <c r="J12" s="31">
        <v>0</v>
      </c>
      <c r="K12" s="31">
        <f t="shared" si="1"/>
        <v>14</v>
      </c>
    </row>
    <row r="13" spans="1:11" ht="15" customHeight="1">
      <c r="A13" s="183">
        <f>'55'!A13</f>
        <v>3</v>
      </c>
      <c r="B13" s="138" t="str">
        <f>'55'!B13</f>
        <v>Sukamara</v>
      </c>
      <c r="C13" s="230">
        <v>1</v>
      </c>
      <c r="D13" s="230">
        <v>2</v>
      </c>
      <c r="E13" s="230">
        <v>0</v>
      </c>
      <c r="F13" s="139">
        <v>0</v>
      </c>
      <c r="G13" s="139">
        <f t="shared" si="0"/>
        <v>3</v>
      </c>
      <c r="H13" s="139"/>
      <c r="I13" s="139">
        <v>4</v>
      </c>
      <c r="J13" s="139">
        <v>1</v>
      </c>
      <c r="K13" s="139">
        <f t="shared" si="1"/>
        <v>5</v>
      </c>
    </row>
    <row r="14" spans="1:11" ht="15" customHeight="1">
      <c r="A14" s="183">
        <f>'55'!A14</f>
        <v>4</v>
      </c>
      <c r="B14" s="30" t="str">
        <f>'55'!B14</f>
        <v>Kotawaringin Timur</v>
      </c>
      <c r="C14" s="258">
        <v>2</v>
      </c>
      <c r="D14" s="230">
        <v>0</v>
      </c>
      <c r="E14" s="230">
        <v>1</v>
      </c>
      <c r="F14" s="31">
        <v>6</v>
      </c>
      <c r="G14" s="31">
        <f t="shared" si="0"/>
        <v>9</v>
      </c>
      <c r="H14" s="31">
        <v>0</v>
      </c>
      <c r="I14" s="139">
        <v>14</v>
      </c>
      <c r="J14" s="31">
        <v>4</v>
      </c>
      <c r="K14" s="31">
        <f t="shared" si="1"/>
        <v>18</v>
      </c>
    </row>
    <row r="15" spans="1:11" ht="15" customHeight="1">
      <c r="A15" s="183">
        <f>'55'!A15</f>
        <v>5</v>
      </c>
      <c r="B15" s="30" t="str">
        <f>'55'!B15</f>
        <v>Seruyan</v>
      </c>
      <c r="C15" s="258">
        <v>1</v>
      </c>
      <c r="D15" s="230">
        <v>0</v>
      </c>
      <c r="E15" s="230">
        <v>0</v>
      </c>
      <c r="F15" s="31">
        <v>0</v>
      </c>
      <c r="G15" s="31">
        <f t="shared" si="0"/>
        <v>1</v>
      </c>
      <c r="H15" s="139">
        <v>0</v>
      </c>
      <c r="I15" s="139">
        <v>11</v>
      </c>
      <c r="J15" s="139">
        <v>2</v>
      </c>
      <c r="K15" s="139">
        <f t="shared" si="1"/>
        <v>13</v>
      </c>
    </row>
    <row r="16" spans="1:11" ht="15" customHeight="1">
      <c r="A16" s="183">
        <f>'55'!A16</f>
        <v>6</v>
      </c>
      <c r="B16" s="30" t="str">
        <f>'55'!B16</f>
        <v>Katingan</v>
      </c>
      <c r="C16" s="258">
        <v>0</v>
      </c>
      <c r="D16" s="230">
        <v>0</v>
      </c>
      <c r="E16" s="230">
        <v>1</v>
      </c>
      <c r="F16" s="31">
        <v>0</v>
      </c>
      <c r="G16" s="31">
        <f t="shared" si="0"/>
        <v>1</v>
      </c>
      <c r="H16" s="31">
        <v>0</v>
      </c>
      <c r="I16" s="139">
        <v>11</v>
      </c>
      <c r="J16" s="31">
        <v>1</v>
      </c>
      <c r="K16" s="31">
        <f t="shared" si="1"/>
        <v>12</v>
      </c>
    </row>
    <row r="17" spans="1:11" ht="15" customHeight="1">
      <c r="A17" s="183">
        <f>'55'!A17</f>
        <v>7</v>
      </c>
      <c r="B17" s="30" t="str">
        <f>'55'!B17</f>
        <v>Kapuas</v>
      </c>
      <c r="C17" s="230">
        <v>0</v>
      </c>
      <c r="D17" s="230">
        <v>0</v>
      </c>
      <c r="E17" s="230">
        <v>0</v>
      </c>
      <c r="F17" s="139">
        <v>11</v>
      </c>
      <c r="G17" s="139">
        <f t="shared" si="0"/>
        <v>11</v>
      </c>
      <c r="H17" s="139">
        <v>1</v>
      </c>
      <c r="I17" s="139">
        <v>11</v>
      </c>
      <c r="J17" s="139">
        <v>16</v>
      </c>
      <c r="K17" s="139">
        <f t="shared" si="1"/>
        <v>28</v>
      </c>
    </row>
    <row r="18" spans="1:11" ht="15" customHeight="1">
      <c r="A18" s="183">
        <f>'55'!A18</f>
        <v>8</v>
      </c>
      <c r="B18" s="30" t="str">
        <f>'55'!B18</f>
        <v>Pulang Pisau</v>
      </c>
      <c r="C18" s="230">
        <v>1</v>
      </c>
      <c r="D18" s="230">
        <v>0</v>
      </c>
      <c r="E18" s="230">
        <v>1</v>
      </c>
      <c r="F18" s="139">
        <v>1</v>
      </c>
      <c r="G18" s="139">
        <f t="shared" si="0"/>
        <v>3</v>
      </c>
      <c r="H18" s="139">
        <v>0</v>
      </c>
      <c r="I18" s="139">
        <v>10</v>
      </c>
      <c r="J18" s="139">
        <v>2</v>
      </c>
      <c r="K18" s="139">
        <f t="shared" si="1"/>
        <v>12</v>
      </c>
    </row>
    <row r="19" spans="1:11" ht="15" customHeight="1">
      <c r="A19" s="183">
        <f>'55'!A19</f>
        <v>9</v>
      </c>
      <c r="B19" s="30" t="str">
        <f>'55'!B19</f>
        <v>Gunung Mas</v>
      </c>
      <c r="C19" s="258">
        <v>0</v>
      </c>
      <c r="D19" s="230">
        <v>0</v>
      </c>
      <c r="E19" s="230">
        <v>1</v>
      </c>
      <c r="F19" s="31">
        <v>0</v>
      </c>
      <c r="G19" s="31">
        <f t="shared" si="0"/>
        <v>1</v>
      </c>
      <c r="H19" s="31">
        <v>0</v>
      </c>
      <c r="I19" s="139">
        <v>7</v>
      </c>
      <c r="J19" s="31">
        <v>0</v>
      </c>
      <c r="K19" s="31">
        <f t="shared" si="1"/>
        <v>7</v>
      </c>
    </row>
    <row r="20" spans="1:11" ht="15" customHeight="1">
      <c r="A20" s="183">
        <f>'55'!A20</f>
        <v>10</v>
      </c>
      <c r="B20" s="30" t="str">
        <f>'55'!B20</f>
        <v>Barito Selatan</v>
      </c>
      <c r="C20" s="258">
        <v>1</v>
      </c>
      <c r="D20" s="230">
        <v>0</v>
      </c>
      <c r="E20" s="230">
        <v>0</v>
      </c>
      <c r="F20" s="31">
        <v>2</v>
      </c>
      <c r="G20" s="31">
        <f aca="true" t="shared" si="2" ref="G20:G25">SUM(C20:F20)</f>
        <v>3</v>
      </c>
      <c r="H20" s="31">
        <v>0</v>
      </c>
      <c r="I20" s="139">
        <v>5</v>
      </c>
      <c r="J20" s="31">
        <v>5</v>
      </c>
      <c r="K20" s="31">
        <f aca="true" t="shared" si="3" ref="K20:K25">SUM(H20:J20)</f>
        <v>10</v>
      </c>
    </row>
    <row r="21" spans="1:11" ht="15" customHeight="1">
      <c r="A21" s="183">
        <f>'55'!A21</f>
        <v>11</v>
      </c>
      <c r="B21" s="30" t="str">
        <f>'55'!B21</f>
        <v>Barito Timur</v>
      </c>
      <c r="C21" s="230">
        <v>0</v>
      </c>
      <c r="D21" s="230">
        <v>1</v>
      </c>
      <c r="E21" s="230">
        <v>2</v>
      </c>
      <c r="F21" s="139">
        <v>2</v>
      </c>
      <c r="G21" s="139">
        <f t="shared" si="2"/>
        <v>5</v>
      </c>
      <c r="H21" s="31">
        <v>0</v>
      </c>
      <c r="I21" s="139">
        <v>8</v>
      </c>
      <c r="J21" s="31">
        <v>1</v>
      </c>
      <c r="K21" s="31">
        <f t="shared" si="3"/>
        <v>9</v>
      </c>
    </row>
    <row r="22" spans="1:11" ht="15" customHeight="1">
      <c r="A22" s="183">
        <f>'55'!A22</f>
        <v>12</v>
      </c>
      <c r="B22" s="30" t="str">
        <f>'55'!B22</f>
        <v>Barito Utara</v>
      </c>
      <c r="C22" s="230">
        <v>1</v>
      </c>
      <c r="D22" s="230">
        <v>0</v>
      </c>
      <c r="E22" s="230">
        <v>0</v>
      </c>
      <c r="F22" s="139">
        <v>6</v>
      </c>
      <c r="G22" s="139">
        <f t="shared" si="2"/>
        <v>7</v>
      </c>
      <c r="H22" s="139">
        <v>0</v>
      </c>
      <c r="I22" s="139">
        <v>14</v>
      </c>
      <c r="J22" s="139">
        <v>0</v>
      </c>
      <c r="K22" s="139">
        <f t="shared" si="3"/>
        <v>14</v>
      </c>
    </row>
    <row r="23" spans="1:11" ht="15" customHeight="1">
      <c r="A23" s="183">
        <f>'55'!A23</f>
        <v>13</v>
      </c>
      <c r="B23" s="30" t="str">
        <f>'55'!B23</f>
        <v>Murung Raya</v>
      </c>
      <c r="C23" s="258">
        <v>1</v>
      </c>
      <c r="D23" s="230">
        <v>0</v>
      </c>
      <c r="E23" s="230">
        <v>0</v>
      </c>
      <c r="F23" s="31">
        <v>4</v>
      </c>
      <c r="G23" s="31">
        <f>SUM(C23:F23)</f>
        <v>5</v>
      </c>
      <c r="H23" s="31">
        <v>0</v>
      </c>
      <c r="I23" s="139">
        <v>8</v>
      </c>
      <c r="J23" s="31">
        <v>0</v>
      </c>
      <c r="K23" s="31">
        <f>SUM(H23:J23)</f>
        <v>8</v>
      </c>
    </row>
    <row r="24" spans="1:11" ht="15" customHeight="1">
      <c r="A24" s="183">
        <f>'55'!A24</f>
        <v>14</v>
      </c>
      <c r="B24" s="30" t="str">
        <f>'55'!B24</f>
        <v>Palangka Raya</v>
      </c>
      <c r="C24" s="258">
        <v>3</v>
      </c>
      <c r="D24" s="230">
        <v>0</v>
      </c>
      <c r="E24" s="230">
        <v>2</v>
      </c>
      <c r="F24" s="31">
        <v>8</v>
      </c>
      <c r="G24" s="31">
        <f>SUM(C24:F24)</f>
        <v>13</v>
      </c>
      <c r="H24" s="31">
        <v>1</v>
      </c>
      <c r="I24" s="139">
        <v>7</v>
      </c>
      <c r="J24" s="31">
        <v>6</v>
      </c>
      <c r="K24" s="31">
        <f>SUM(H24:J24)</f>
        <v>14</v>
      </c>
    </row>
    <row r="25" spans="1:11" ht="15" customHeight="1">
      <c r="A25" s="232"/>
      <c r="B25" s="35"/>
      <c r="C25" s="324"/>
      <c r="D25" s="233"/>
      <c r="E25" s="233"/>
      <c r="F25" s="36"/>
      <c r="G25" s="31">
        <f t="shared" si="2"/>
        <v>0</v>
      </c>
      <c r="H25" s="31"/>
      <c r="I25" s="139"/>
      <c r="J25" s="31"/>
      <c r="K25" s="31">
        <f t="shared" si="3"/>
        <v>0</v>
      </c>
    </row>
    <row r="26" spans="1:11" ht="19.5" customHeight="1">
      <c r="A26" s="138" t="s">
        <v>62</v>
      </c>
      <c r="B26" s="30"/>
      <c r="C26" s="258">
        <f aca="true" t="shared" si="4" ref="C26:K26">SUM(C10:C25)</f>
        <v>12</v>
      </c>
      <c r="D26" s="258">
        <f t="shared" si="4"/>
        <v>5</v>
      </c>
      <c r="E26" s="258">
        <f t="shared" si="4"/>
        <v>14</v>
      </c>
      <c r="F26" s="258">
        <f t="shared" si="4"/>
        <v>48</v>
      </c>
      <c r="G26" s="109">
        <f t="shared" si="4"/>
        <v>79</v>
      </c>
      <c r="H26" s="331">
        <f t="shared" si="4"/>
        <v>2</v>
      </c>
      <c r="I26" s="331">
        <f t="shared" si="4"/>
        <v>133</v>
      </c>
      <c r="J26" s="331">
        <f t="shared" si="4"/>
        <v>42</v>
      </c>
      <c r="K26" s="331">
        <f t="shared" si="4"/>
        <v>177</v>
      </c>
    </row>
    <row r="27" spans="1:11" ht="15" customHeight="1">
      <c r="A27" s="142" t="s">
        <v>871</v>
      </c>
      <c r="B27" s="178" t="s">
        <v>428</v>
      </c>
      <c r="C27" s="327"/>
      <c r="D27" s="140"/>
      <c r="E27" s="140"/>
      <c r="F27" s="196"/>
      <c r="G27" s="31"/>
      <c r="H27" s="31"/>
      <c r="I27" s="139"/>
      <c r="J27" s="31"/>
      <c r="K27" s="31"/>
    </row>
    <row r="28" spans="1:11" ht="15" customHeight="1">
      <c r="A28" s="138">
        <f>'55'!A28</f>
        <v>1</v>
      </c>
      <c r="B28" s="30" t="str">
        <f>'55'!B28</f>
        <v>Dr. St. Imanuddin</v>
      </c>
      <c r="C28" s="258">
        <v>2</v>
      </c>
      <c r="D28" s="139">
        <v>0</v>
      </c>
      <c r="E28" s="139">
        <v>0</v>
      </c>
      <c r="F28" s="31">
        <v>3</v>
      </c>
      <c r="G28" s="31">
        <f aca="true" t="shared" si="5" ref="G28:G40">SUM(C28:F28)</f>
        <v>5</v>
      </c>
      <c r="H28" s="139">
        <v>1</v>
      </c>
      <c r="I28" s="139">
        <v>3</v>
      </c>
      <c r="J28" s="139">
        <v>1</v>
      </c>
      <c r="K28" s="139">
        <f aca="true" t="shared" si="6" ref="K28:K40">SUM(H28:J28)</f>
        <v>5</v>
      </c>
    </row>
    <row r="29" spans="1:11" ht="15" customHeight="1">
      <c r="A29" s="138">
        <f>'55'!A29</f>
        <v>2</v>
      </c>
      <c r="B29" s="30" t="str">
        <f>'55'!B29</f>
        <v>Lamandau</v>
      </c>
      <c r="C29" s="258">
        <v>2</v>
      </c>
      <c r="D29" s="139">
        <v>0</v>
      </c>
      <c r="E29" s="139">
        <v>0</v>
      </c>
      <c r="F29" s="31">
        <v>0</v>
      </c>
      <c r="G29" s="31">
        <f t="shared" si="5"/>
        <v>2</v>
      </c>
      <c r="H29" s="31">
        <v>0</v>
      </c>
      <c r="I29" s="139">
        <v>1</v>
      </c>
      <c r="J29" s="31">
        <v>0</v>
      </c>
      <c r="K29" s="31">
        <f t="shared" si="6"/>
        <v>1</v>
      </c>
    </row>
    <row r="30" spans="1:11" ht="15" customHeight="1">
      <c r="A30" s="138">
        <f>'55'!A30</f>
        <v>3</v>
      </c>
      <c r="B30" s="30" t="str">
        <f>'55'!B30</f>
        <v>Sukamara</v>
      </c>
      <c r="C30" s="258">
        <v>2</v>
      </c>
      <c r="D30" s="139">
        <v>3</v>
      </c>
      <c r="E30" s="139">
        <v>0</v>
      </c>
      <c r="F30" s="31">
        <v>0</v>
      </c>
      <c r="G30" s="31">
        <f t="shared" si="5"/>
        <v>5</v>
      </c>
      <c r="H30" s="31">
        <v>0</v>
      </c>
      <c r="I30" s="139">
        <v>2</v>
      </c>
      <c r="J30" s="31">
        <v>0</v>
      </c>
      <c r="K30" s="31">
        <f t="shared" si="6"/>
        <v>2</v>
      </c>
    </row>
    <row r="31" spans="1:11" ht="15" customHeight="1">
      <c r="A31" s="138">
        <f>'55'!A31</f>
        <v>4</v>
      </c>
      <c r="B31" s="30" t="str">
        <f>'55'!B31</f>
        <v>Dr. Murjani</v>
      </c>
      <c r="C31" s="258">
        <v>2</v>
      </c>
      <c r="D31" s="139">
        <v>0</v>
      </c>
      <c r="E31" s="139">
        <v>0</v>
      </c>
      <c r="F31" s="31">
        <v>5</v>
      </c>
      <c r="G31" s="31">
        <f t="shared" si="5"/>
        <v>7</v>
      </c>
      <c r="H31" s="139">
        <v>2</v>
      </c>
      <c r="I31" s="139">
        <v>4</v>
      </c>
      <c r="J31" s="139">
        <v>2</v>
      </c>
      <c r="K31" s="139">
        <f t="shared" si="6"/>
        <v>8</v>
      </c>
    </row>
    <row r="32" spans="1:11" ht="15" customHeight="1">
      <c r="A32" s="138">
        <f>'55'!A32</f>
        <v>5</v>
      </c>
      <c r="B32" s="30" t="str">
        <f>'55'!B32</f>
        <v>Kuala Pembuang</v>
      </c>
      <c r="C32" s="258">
        <v>1</v>
      </c>
      <c r="D32" s="139">
        <v>0</v>
      </c>
      <c r="E32" s="139">
        <v>0</v>
      </c>
      <c r="F32" s="31">
        <v>0</v>
      </c>
      <c r="G32" s="31">
        <f t="shared" si="5"/>
        <v>1</v>
      </c>
      <c r="H32" s="31">
        <v>0</v>
      </c>
      <c r="I32" s="139">
        <v>1</v>
      </c>
      <c r="J32" s="31">
        <v>0</v>
      </c>
      <c r="K32" s="31">
        <f t="shared" si="6"/>
        <v>1</v>
      </c>
    </row>
    <row r="33" spans="1:11" ht="15" customHeight="1">
      <c r="A33" s="138">
        <f>'55'!A33</f>
        <v>6</v>
      </c>
      <c r="B33" s="30" t="str">
        <f>'55'!B33</f>
        <v>Hanua</v>
      </c>
      <c r="C33" s="258">
        <v>1</v>
      </c>
      <c r="D33" s="139">
        <v>0</v>
      </c>
      <c r="E33" s="139">
        <v>0</v>
      </c>
      <c r="F33" s="31">
        <v>1</v>
      </c>
      <c r="G33" s="31">
        <f>SUM(C33:F33)</f>
        <v>2</v>
      </c>
      <c r="H33" s="31">
        <v>0</v>
      </c>
      <c r="I33" s="139">
        <v>2</v>
      </c>
      <c r="J33" s="31">
        <v>0</v>
      </c>
      <c r="K33" s="31">
        <f>SUM(H33:J33)</f>
        <v>2</v>
      </c>
    </row>
    <row r="34" spans="1:11" ht="15" customHeight="1">
      <c r="A34" s="138">
        <f>'55'!A34</f>
        <v>7</v>
      </c>
      <c r="B34" s="30" t="str">
        <f>'55'!B34</f>
        <v>Kasongan</v>
      </c>
      <c r="C34" s="258">
        <v>1</v>
      </c>
      <c r="D34" s="139">
        <v>2</v>
      </c>
      <c r="E34" s="139">
        <v>3</v>
      </c>
      <c r="F34" s="31">
        <v>2</v>
      </c>
      <c r="G34" s="31">
        <f t="shared" si="5"/>
        <v>8</v>
      </c>
      <c r="H34" s="31">
        <v>0</v>
      </c>
      <c r="I34" s="139">
        <v>4</v>
      </c>
      <c r="J34" s="31">
        <v>0</v>
      </c>
      <c r="K34" s="31">
        <f t="shared" si="6"/>
        <v>4</v>
      </c>
    </row>
    <row r="35" spans="1:11" ht="15" customHeight="1">
      <c r="A35" s="138">
        <f>'55'!A35</f>
        <v>8</v>
      </c>
      <c r="B35" s="30" t="str">
        <f>'55'!B35</f>
        <v>Dr. Soemarno SA</v>
      </c>
      <c r="C35" s="230">
        <v>2</v>
      </c>
      <c r="D35" s="139">
        <v>0</v>
      </c>
      <c r="E35" s="139">
        <v>4</v>
      </c>
      <c r="F35" s="139">
        <v>5</v>
      </c>
      <c r="G35" s="139">
        <f t="shared" si="5"/>
        <v>11</v>
      </c>
      <c r="H35" s="31">
        <v>1</v>
      </c>
      <c r="I35" s="139">
        <v>3</v>
      </c>
      <c r="J35" s="31">
        <v>1</v>
      </c>
      <c r="K35" s="31">
        <f t="shared" si="6"/>
        <v>5</v>
      </c>
    </row>
    <row r="36" spans="1:11" ht="15" customHeight="1">
      <c r="A36" s="138">
        <f>'55'!A36</f>
        <v>9</v>
      </c>
      <c r="B36" s="30" t="str">
        <f>'55'!B36</f>
        <v>Pulang Pisau</v>
      </c>
      <c r="C36" s="230">
        <v>1</v>
      </c>
      <c r="D36" s="139">
        <v>0</v>
      </c>
      <c r="E36" s="139">
        <v>0</v>
      </c>
      <c r="F36" s="139">
        <v>3</v>
      </c>
      <c r="G36" s="139">
        <f t="shared" si="5"/>
        <v>4</v>
      </c>
      <c r="H36" s="31">
        <v>0</v>
      </c>
      <c r="I36" s="139">
        <v>3</v>
      </c>
      <c r="J36" s="31">
        <v>0</v>
      </c>
      <c r="K36" s="31">
        <f t="shared" si="6"/>
        <v>3</v>
      </c>
    </row>
    <row r="37" spans="1:11" ht="15" customHeight="1">
      <c r="A37" s="138">
        <f>'55'!A37</f>
        <v>10</v>
      </c>
      <c r="B37" s="30" t="str">
        <f>'55'!B37</f>
        <v>Kuala Kurun</v>
      </c>
      <c r="C37" s="230">
        <v>1</v>
      </c>
      <c r="D37" s="139">
        <v>0</v>
      </c>
      <c r="E37" s="139">
        <v>0</v>
      </c>
      <c r="F37" s="139">
        <v>0</v>
      </c>
      <c r="G37" s="139">
        <f t="shared" si="5"/>
        <v>1</v>
      </c>
      <c r="H37" s="139">
        <v>0</v>
      </c>
      <c r="I37" s="139">
        <v>3</v>
      </c>
      <c r="J37" s="139">
        <v>1</v>
      </c>
      <c r="K37" s="139">
        <f t="shared" si="6"/>
        <v>4</v>
      </c>
    </row>
    <row r="38" spans="1:11" ht="15" customHeight="1">
      <c r="A38" s="138">
        <f>'55'!A38</f>
        <v>11</v>
      </c>
      <c r="B38" s="30" t="str">
        <f>'55'!B38</f>
        <v>Buntok</v>
      </c>
      <c r="C38" s="230">
        <v>1</v>
      </c>
      <c r="D38" s="139">
        <v>0</v>
      </c>
      <c r="E38" s="139">
        <v>0</v>
      </c>
      <c r="F38" s="139">
        <v>2</v>
      </c>
      <c r="G38" s="139">
        <f t="shared" si="5"/>
        <v>3</v>
      </c>
      <c r="H38" s="31">
        <v>0</v>
      </c>
      <c r="I38" s="139">
        <v>3</v>
      </c>
      <c r="J38" s="31">
        <v>0</v>
      </c>
      <c r="K38" s="31">
        <f t="shared" si="6"/>
        <v>3</v>
      </c>
    </row>
    <row r="39" spans="1:11" ht="15" customHeight="1">
      <c r="A39" s="138">
        <f>'55'!A39</f>
        <v>12</v>
      </c>
      <c r="B39" s="30" t="str">
        <f>'55'!B39</f>
        <v>Tamiang Layang</v>
      </c>
      <c r="C39" s="258">
        <v>2</v>
      </c>
      <c r="D39" s="139">
        <v>0</v>
      </c>
      <c r="E39" s="139">
        <v>0</v>
      </c>
      <c r="F39" s="31">
        <v>1</v>
      </c>
      <c r="G39" s="31">
        <f t="shared" si="5"/>
        <v>3</v>
      </c>
      <c r="H39" s="31">
        <v>0</v>
      </c>
      <c r="I39" s="139">
        <v>2</v>
      </c>
      <c r="J39" s="31">
        <v>1</v>
      </c>
      <c r="K39" s="31">
        <f t="shared" si="6"/>
        <v>3</v>
      </c>
    </row>
    <row r="40" spans="1:11" ht="15" customHeight="1">
      <c r="A40" s="138">
        <f>'55'!A40</f>
        <v>13</v>
      </c>
      <c r="B40" s="30" t="str">
        <f>'55'!B40</f>
        <v>Muara Teweh</v>
      </c>
      <c r="C40" s="230">
        <v>4</v>
      </c>
      <c r="D40" s="139">
        <v>0</v>
      </c>
      <c r="E40" s="139">
        <v>0</v>
      </c>
      <c r="F40" s="139">
        <v>0</v>
      </c>
      <c r="G40" s="139">
        <f t="shared" si="5"/>
        <v>4</v>
      </c>
      <c r="H40" s="139">
        <v>0</v>
      </c>
      <c r="I40" s="139">
        <v>0</v>
      </c>
      <c r="J40" s="139">
        <v>0</v>
      </c>
      <c r="K40" s="139">
        <f t="shared" si="6"/>
        <v>0</v>
      </c>
    </row>
    <row r="41" spans="1:11" ht="15" customHeight="1">
      <c r="A41" s="138">
        <f>'55'!A41</f>
        <v>14</v>
      </c>
      <c r="B41" s="30" t="str">
        <f>'55'!B41</f>
        <v>Puruk Cahu</v>
      </c>
      <c r="C41" s="258">
        <v>4</v>
      </c>
      <c r="D41" s="139">
        <v>0</v>
      </c>
      <c r="E41" s="139">
        <v>2</v>
      </c>
      <c r="F41" s="31">
        <v>0</v>
      </c>
      <c r="G41" s="31">
        <f>SUM(C41:F41)</f>
        <v>6</v>
      </c>
      <c r="H41" s="31">
        <v>0</v>
      </c>
      <c r="I41" s="139">
        <v>1</v>
      </c>
      <c r="J41" s="31">
        <v>1</v>
      </c>
      <c r="K41" s="31">
        <f>SUM(H41:J41)</f>
        <v>2</v>
      </c>
    </row>
    <row r="42" spans="1:11" ht="15" customHeight="1">
      <c r="A42" s="138">
        <f>'55'!A42</f>
        <v>15</v>
      </c>
      <c r="B42" s="30" t="str">
        <f>'55'!B42</f>
        <v>Dr. Doris Sylvanus</v>
      </c>
      <c r="C42" s="258">
        <v>7</v>
      </c>
      <c r="D42" s="139">
        <v>0</v>
      </c>
      <c r="E42" s="139">
        <v>0</v>
      </c>
      <c r="F42" s="31">
        <v>14</v>
      </c>
      <c r="G42" s="31">
        <f>SUM(C42:F42)</f>
        <v>21</v>
      </c>
      <c r="H42" s="31">
        <v>3</v>
      </c>
      <c r="I42" s="139">
        <v>11</v>
      </c>
      <c r="J42" s="31">
        <v>3</v>
      </c>
      <c r="K42" s="31">
        <f>SUM(H42:J42)</f>
        <v>17</v>
      </c>
    </row>
    <row r="43" spans="1:11" ht="15" customHeight="1">
      <c r="A43" s="138">
        <f>'55'!A43</f>
        <v>16</v>
      </c>
      <c r="B43" s="30" t="str">
        <f>'55'!B43</f>
        <v>RS Bhayangkara</v>
      </c>
      <c r="C43" s="258">
        <v>1</v>
      </c>
      <c r="D43" s="139">
        <v>0</v>
      </c>
      <c r="E43" s="139">
        <v>0</v>
      </c>
      <c r="F43" s="31">
        <v>0</v>
      </c>
      <c r="G43" s="31">
        <f>SUM(C43:F43)</f>
        <v>1</v>
      </c>
      <c r="H43" s="31">
        <v>0</v>
      </c>
      <c r="I43" s="139">
        <v>1</v>
      </c>
      <c r="J43" s="31">
        <v>0</v>
      </c>
      <c r="K43" s="31">
        <f>SUM(H43:J43)</f>
        <v>1</v>
      </c>
    </row>
    <row r="44" spans="1:11" ht="15" customHeight="1">
      <c r="A44" s="138">
        <f>'55'!A44</f>
        <v>17</v>
      </c>
      <c r="B44" s="30" t="str">
        <f>'55'!B44</f>
        <v>RS TNI Denkensyah</v>
      </c>
      <c r="C44" s="258">
        <v>0</v>
      </c>
      <c r="D44" s="139">
        <v>1</v>
      </c>
      <c r="E44" s="139">
        <v>0</v>
      </c>
      <c r="F44" s="31">
        <v>0</v>
      </c>
      <c r="G44" s="31">
        <f>SUM(C44:F44)</f>
        <v>1</v>
      </c>
      <c r="H44" s="31">
        <v>0</v>
      </c>
      <c r="I44" s="139">
        <v>0</v>
      </c>
      <c r="J44" s="31">
        <v>0</v>
      </c>
      <c r="K44" s="31">
        <f>SUM(H44:J44)</f>
        <v>0</v>
      </c>
    </row>
    <row r="45" spans="1:11" ht="15" customHeight="1">
      <c r="A45" s="138"/>
      <c r="B45" s="30"/>
      <c r="C45" s="258"/>
      <c r="D45" s="139"/>
      <c r="E45" s="139"/>
      <c r="F45" s="31"/>
      <c r="G45" s="31"/>
      <c r="H45" s="31"/>
      <c r="I45" s="139"/>
      <c r="J45" s="31"/>
      <c r="K45" s="31"/>
    </row>
    <row r="46" spans="1:11" ht="19.5" customHeight="1">
      <c r="A46" s="142" t="s">
        <v>63</v>
      </c>
      <c r="B46" s="178"/>
      <c r="C46" s="327">
        <f aca="true" t="shared" si="7" ref="C46:K46">SUM(C27:C45)</f>
        <v>34</v>
      </c>
      <c r="D46" s="327">
        <f t="shared" si="7"/>
        <v>6</v>
      </c>
      <c r="E46" s="327">
        <f t="shared" si="7"/>
        <v>9</v>
      </c>
      <c r="F46" s="327">
        <f t="shared" si="7"/>
        <v>36</v>
      </c>
      <c r="G46" s="327">
        <f t="shared" si="7"/>
        <v>85</v>
      </c>
      <c r="H46" s="327">
        <f t="shared" si="7"/>
        <v>7</v>
      </c>
      <c r="I46" s="327">
        <f t="shared" si="7"/>
        <v>44</v>
      </c>
      <c r="J46" s="327">
        <f t="shared" si="7"/>
        <v>10</v>
      </c>
      <c r="K46" s="327">
        <f t="shared" si="7"/>
        <v>61</v>
      </c>
    </row>
    <row r="47" spans="1:11" ht="19.5" customHeight="1">
      <c r="A47" s="528" t="s">
        <v>64</v>
      </c>
      <c r="B47" s="178"/>
      <c r="C47" s="327">
        <f>SUM(C48:C51)</f>
        <v>0</v>
      </c>
      <c r="D47" s="327">
        <f>SUM(D48:D51)</f>
        <v>0</v>
      </c>
      <c r="E47" s="327">
        <f>SUM(E48:E51)</f>
        <v>0</v>
      </c>
      <c r="F47" s="327">
        <f>SUM(F48:F51)</f>
        <v>0</v>
      </c>
      <c r="G47" s="196">
        <f>SUM(C47:F47)</f>
        <v>0</v>
      </c>
      <c r="H47" s="327">
        <f>SUM(H48:H51)</f>
        <v>2</v>
      </c>
      <c r="I47" s="327">
        <f>SUM(I48:I51)</f>
        <v>5</v>
      </c>
      <c r="J47" s="327">
        <f>SUM(J48:J51)</f>
        <v>0</v>
      </c>
      <c r="K47" s="109">
        <f>SUM(H47:J47)</f>
        <v>7</v>
      </c>
    </row>
    <row r="48" spans="1:11" ht="14.25" customHeight="1">
      <c r="A48" s="528">
        <f>'55'!A48</f>
        <v>1</v>
      </c>
      <c r="B48" s="178" t="str">
        <f>'55'!B48</f>
        <v>Akper Kapuas</v>
      </c>
      <c r="C48" s="327">
        <v>0</v>
      </c>
      <c r="D48" s="140">
        <v>0</v>
      </c>
      <c r="E48" s="140">
        <v>0</v>
      </c>
      <c r="F48" s="196">
        <v>0</v>
      </c>
      <c r="G48" s="196">
        <f>SUM(C48:F48)</f>
        <v>0</v>
      </c>
      <c r="H48" s="196">
        <v>0</v>
      </c>
      <c r="I48" s="140">
        <v>0</v>
      </c>
      <c r="J48" s="196">
        <v>0</v>
      </c>
      <c r="K48" s="31">
        <f>SUM(H48:J48)</f>
        <v>0</v>
      </c>
    </row>
    <row r="49" spans="1:11" ht="14.25" customHeight="1">
      <c r="A49" s="183">
        <f>'55'!A49</f>
        <v>2</v>
      </c>
      <c r="B49" s="30" t="str">
        <f>'55'!B49</f>
        <v>Akper Sampit</v>
      </c>
      <c r="C49" s="258">
        <v>0</v>
      </c>
      <c r="D49" s="139">
        <v>0</v>
      </c>
      <c r="E49" s="139">
        <v>0</v>
      </c>
      <c r="F49" s="31">
        <v>0</v>
      </c>
      <c r="G49" s="31">
        <f>SUM(C49:F49)</f>
        <v>0</v>
      </c>
      <c r="H49" s="31">
        <v>0</v>
      </c>
      <c r="I49" s="139">
        <v>0</v>
      </c>
      <c r="J49" s="31">
        <v>0</v>
      </c>
      <c r="K49" s="31">
        <f>SUM(H49:J49)</f>
        <v>0</v>
      </c>
    </row>
    <row r="50" spans="1:11" ht="14.25" customHeight="1">
      <c r="A50" s="183">
        <f>'55'!A50</f>
        <v>3</v>
      </c>
      <c r="B50" s="30" t="str">
        <f>'55'!B50</f>
        <v>Poltekes *)</v>
      </c>
      <c r="C50" s="258">
        <v>0</v>
      </c>
      <c r="D50" s="139">
        <v>0</v>
      </c>
      <c r="E50" s="139">
        <v>0</v>
      </c>
      <c r="F50" s="31">
        <v>0</v>
      </c>
      <c r="G50" s="31">
        <f>SUM(C50:F50)</f>
        <v>0</v>
      </c>
      <c r="H50" s="31">
        <v>1</v>
      </c>
      <c r="I50" s="139">
        <v>5</v>
      </c>
      <c r="J50" s="31">
        <v>0</v>
      </c>
      <c r="K50" s="31">
        <f>SUM(H50:J50)</f>
        <v>6</v>
      </c>
    </row>
    <row r="51" spans="1:11" ht="14.25" customHeight="1">
      <c r="A51" s="183">
        <f>'55'!A51</f>
        <v>4</v>
      </c>
      <c r="B51" s="30" t="str">
        <f>'55'!B51</f>
        <v>Bapelkes Palangka Raya</v>
      </c>
      <c r="C51" s="258">
        <v>0</v>
      </c>
      <c r="D51" s="139">
        <v>0</v>
      </c>
      <c r="E51" s="139">
        <v>0</v>
      </c>
      <c r="F51" s="31">
        <v>0</v>
      </c>
      <c r="G51" s="31">
        <f>SUM(C51:F51)</f>
        <v>0</v>
      </c>
      <c r="H51" s="31">
        <v>1</v>
      </c>
      <c r="I51" s="139">
        <v>0</v>
      </c>
      <c r="J51" s="31">
        <v>0</v>
      </c>
      <c r="K51" s="31">
        <f>SUM(H51:J51)</f>
        <v>1</v>
      </c>
    </row>
    <row r="52" spans="1:11" ht="14.25" customHeight="1">
      <c r="A52" s="232"/>
      <c r="B52" s="35"/>
      <c r="C52" s="324"/>
      <c r="D52" s="164"/>
      <c r="E52" s="164"/>
      <c r="F52" s="36"/>
      <c r="G52" s="36"/>
      <c r="H52" s="36"/>
      <c r="I52" s="164"/>
      <c r="J52" s="36"/>
      <c r="K52" s="36"/>
    </row>
    <row r="53" spans="1:11" ht="19.5" customHeight="1">
      <c r="A53" s="528" t="s">
        <v>65</v>
      </c>
      <c r="B53" s="178"/>
      <c r="C53" s="327">
        <f>SUM(C54:C60)</f>
        <v>21</v>
      </c>
      <c r="D53" s="327">
        <f>SUM(D54:D60)</f>
        <v>0</v>
      </c>
      <c r="E53" s="327">
        <f>SUM(E54:E60)</f>
        <v>5</v>
      </c>
      <c r="F53" s="327">
        <f>SUM(F54:F60)</f>
        <v>20</v>
      </c>
      <c r="G53" s="109">
        <f aca="true" t="shared" si="8" ref="G53:G60">SUM(C53:F53)</f>
        <v>46</v>
      </c>
      <c r="H53" s="327">
        <f>SUM(H54:H60)</f>
        <v>0</v>
      </c>
      <c r="I53" s="327">
        <f>SUM(I54:I60)</f>
        <v>0</v>
      </c>
      <c r="J53" s="327">
        <f>SUM(J54:J60)</f>
        <v>0</v>
      </c>
      <c r="K53" s="109">
        <f aca="true" t="shared" si="9" ref="K53:K60">SUM(H53:J53)</f>
        <v>0</v>
      </c>
    </row>
    <row r="54" spans="1:11" ht="14.25" customHeight="1">
      <c r="A54" s="528">
        <f>'55'!A54</f>
        <v>1</v>
      </c>
      <c r="B54" s="178" t="str">
        <f>'55'!B54</f>
        <v>KKP Sampit</v>
      </c>
      <c r="C54" s="327">
        <v>0</v>
      </c>
      <c r="D54" s="140">
        <v>0</v>
      </c>
      <c r="E54" s="140">
        <v>0</v>
      </c>
      <c r="F54" s="196">
        <v>0</v>
      </c>
      <c r="G54" s="31">
        <f t="shared" si="8"/>
        <v>0</v>
      </c>
      <c r="H54" s="196">
        <v>0</v>
      </c>
      <c r="I54" s="140">
        <v>0</v>
      </c>
      <c r="J54" s="196">
        <v>0</v>
      </c>
      <c r="K54" s="31">
        <f t="shared" si="9"/>
        <v>0</v>
      </c>
    </row>
    <row r="55" spans="1:11" ht="14.25" customHeight="1">
      <c r="A55" s="183">
        <f>'55'!A55</f>
        <v>2</v>
      </c>
      <c r="B55" s="30" t="str">
        <f>'55'!B55</f>
        <v>KKP Pulang Pisau</v>
      </c>
      <c r="C55" s="258">
        <v>0</v>
      </c>
      <c r="D55" s="139">
        <v>0</v>
      </c>
      <c r="E55" s="139">
        <v>0</v>
      </c>
      <c r="F55" s="31">
        <v>0</v>
      </c>
      <c r="G55" s="31">
        <f t="shared" si="8"/>
        <v>0</v>
      </c>
      <c r="H55" s="31">
        <v>0</v>
      </c>
      <c r="I55" s="139">
        <v>0</v>
      </c>
      <c r="J55" s="31">
        <v>0</v>
      </c>
      <c r="K55" s="31">
        <f t="shared" si="9"/>
        <v>0</v>
      </c>
    </row>
    <row r="56" spans="1:11" ht="14.25" customHeight="1">
      <c r="A56" s="183">
        <f>'55'!A56</f>
        <v>3</v>
      </c>
      <c r="B56" s="30" t="str">
        <f>'55'!B56</f>
        <v>Labkesda/GFK Kuala Kapuas</v>
      </c>
      <c r="C56" s="230">
        <v>2</v>
      </c>
      <c r="D56" s="139">
        <v>0</v>
      </c>
      <c r="E56" s="139">
        <v>1</v>
      </c>
      <c r="F56" s="139">
        <v>3</v>
      </c>
      <c r="G56" s="31">
        <f t="shared" si="8"/>
        <v>6</v>
      </c>
      <c r="H56" s="31">
        <v>0</v>
      </c>
      <c r="I56" s="139">
        <v>0</v>
      </c>
      <c r="J56" s="31">
        <v>0</v>
      </c>
      <c r="K56" s="31">
        <f t="shared" si="9"/>
        <v>0</v>
      </c>
    </row>
    <row r="57" spans="1:11" ht="14.25" customHeight="1">
      <c r="A57" s="183">
        <f>'55'!A57</f>
        <v>4</v>
      </c>
      <c r="B57" s="138" t="str">
        <f>'55'!B57</f>
        <v>Labkesda &amp; GFK Pangkalan Bun</v>
      </c>
      <c r="C57" s="230">
        <v>1</v>
      </c>
      <c r="D57" s="139">
        <v>0</v>
      </c>
      <c r="E57" s="139">
        <v>0</v>
      </c>
      <c r="F57" s="139">
        <v>2</v>
      </c>
      <c r="G57" s="31">
        <f t="shared" si="8"/>
        <v>3</v>
      </c>
      <c r="H57" s="31">
        <v>0</v>
      </c>
      <c r="I57" s="139">
        <v>0</v>
      </c>
      <c r="J57" s="31">
        <v>0</v>
      </c>
      <c r="K57" s="31">
        <f t="shared" si="9"/>
        <v>0</v>
      </c>
    </row>
    <row r="58" spans="1:11" ht="14.25" customHeight="1">
      <c r="A58" s="183">
        <f>'55'!A58</f>
        <v>5</v>
      </c>
      <c r="B58" s="30" t="str">
        <f>'55'!B58</f>
        <v>Balai Keswamas Palangka Raya</v>
      </c>
      <c r="C58" s="258">
        <v>0</v>
      </c>
      <c r="D58" s="139">
        <v>0</v>
      </c>
      <c r="E58" s="139">
        <v>0</v>
      </c>
      <c r="F58" s="31">
        <v>1</v>
      </c>
      <c r="G58" s="31">
        <f t="shared" si="8"/>
        <v>1</v>
      </c>
      <c r="H58" s="31">
        <v>0</v>
      </c>
      <c r="I58" s="139">
        <v>0</v>
      </c>
      <c r="J58" s="31">
        <v>0</v>
      </c>
      <c r="K58" s="31">
        <f t="shared" si="9"/>
        <v>0</v>
      </c>
    </row>
    <row r="59" spans="1:11" ht="14.25" customHeight="1">
      <c r="A59" s="183">
        <f>'55'!A59</f>
        <v>6</v>
      </c>
      <c r="B59" s="30" t="str">
        <f>'55'!B59</f>
        <v>Balai Labkes Palangka Raya</v>
      </c>
      <c r="C59" s="258">
        <v>2</v>
      </c>
      <c r="D59" s="139">
        <v>0</v>
      </c>
      <c r="E59" s="139">
        <v>0</v>
      </c>
      <c r="F59" s="31">
        <v>0</v>
      </c>
      <c r="G59" s="31">
        <f t="shared" si="8"/>
        <v>2</v>
      </c>
      <c r="H59" s="31">
        <v>0</v>
      </c>
      <c r="I59" s="139">
        <v>0</v>
      </c>
      <c r="J59" s="31">
        <v>0</v>
      </c>
      <c r="K59" s="31">
        <f t="shared" si="9"/>
        <v>0</v>
      </c>
    </row>
    <row r="60" spans="1:11" ht="14.25" customHeight="1">
      <c r="A60" s="183">
        <f>'55'!A60</f>
        <v>7</v>
      </c>
      <c r="B60" s="30" t="str">
        <f>'55'!B60</f>
        <v>Badan POM Palangka Raya *)</v>
      </c>
      <c r="C60" s="258">
        <v>16</v>
      </c>
      <c r="D60" s="139">
        <v>0</v>
      </c>
      <c r="E60" s="139">
        <v>4</v>
      </c>
      <c r="F60" s="31">
        <v>14</v>
      </c>
      <c r="G60" s="31">
        <f t="shared" si="8"/>
        <v>34</v>
      </c>
      <c r="H60" s="31">
        <v>0</v>
      </c>
      <c r="I60" s="139">
        <v>0</v>
      </c>
      <c r="J60" s="31">
        <v>0</v>
      </c>
      <c r="K60" s="31">
        <f t="shared" si="9"/>
        <v>0</v>
      </c>
    </row>
    <row r="61" spans="1:11" ht="14.25" customHeight="1">
      <c r="A61" s="138">
        <v>8</v>
      </c>
      <c r="B61" s="30" t="s">
        <v>590</v>
      </c>
      <c r="C61" s="258">
        <v>0</v>
      </c>
      <c r="D61" s="139">
        <v>0</v>
      </c>
      <c r="E61" s="139">
        <v>0</v>
      </c>
      <c r="F61" s="31">
        <v>0</v>
      </c>
      <c r="G61" s="31">
        <f>SUM(C61:F61)</f>
        <v>0</v>
      </c>
      <c r="H61" s="31">
        <v>0</v>
      </c>
      <c r="I61" s="139">
        <v>0</v>
      </c>
      <c r="J61" s="31">
        <v>0</v>
      </c>
      <c r="K61" s="31">
        <f>SUM(H61:J61)</f>
        <v>0</v>
      </c>
    </row>
    <row r="62" spans="1:11" ht="14.25" customHeight="1">
      <c r="A62" s="232"/>
      <c r="B62" s="35"/>
      <c r="C62" s="324"/>
      <c r="D62" s="164"/>
      <c r="E62" s="164"/>
      <c r="F62" s="36"/>
      <c r="G62" s="36"/>
      <c r="H62" s="36"/>
      <c r="I62" s="164"/>
      <c r="J62" s="36"/>
      <c r="K62" s="36"/>
    </row>
    <row r="63" spans="1:11" ht="19.5" customHeight="1">
      <c r="A63" s="144" t="s">
        <v>66</v>
      </c>
      <c r="B63" s="108"/>
      <c r="C63" s="331">
        <f>SUM(C64:C78)</f>
        <v>23</v>
      </c>
      <c r="D63" s="331">
        <f aca="true" t="shared" si="10" ref="D63:J63">SUM(D64:D78)</f>
        <v>1</v>
      </c>
      <c r="E63" s="331">
        <f t="shared" si="10"/>
        <v>6</v>
      </c>
      <c r="F63" s="331">
        <f t="shared" si="10"/>
        <v>21</v>
      </c>
      <c r="G63" s="109">
        <f>SUM(C63:F63)</f>
        <v>51</v>
      </c>
      <c r="H63" s="331">
        <f t="shared" si="10"/>
        <v>6</v>
      </c>
      <c r="I63" s="331">
        <f t="shared" si="10"/>
        <v>18</v>
      </c>
      <c r="J63" s="331">
        <f t="shared" si="10"/>
        <v>5</v>
      </c>
      <c r="K63" s="109">
        <f>SUM(H63:J63)</f>
        <v>29</v>
      </c>
    </row>
    <row r="64" spans="1:11" ht="14.25" customHeight="1">
      <c r="A64" s="528">
        <f>'55'!A64</f>
        <v>1</v>
      </c>
      <c r="B64" s="178" t="str">
        <f>'55'!B64</f>
        <v>Kotawaringin Barat</v>
      </c>
      <c r="C64" s="327">
        <v>1</v>
      </c>
      <c r="D64" s="465">
        <v>0</v>
      </c>
      <c r="E64" s="465">
        <v>0</v>
      </c>
      <c r="F64" s="327">
        <v>0</v>
      </c>
      <c r="G64" s="31">
        <f aca="true" t="shared" si="11" ref="G64:G78">SUM(C64:F64)</f>
        <v>1</v>
      </c>
      <c r="H64" s="327">
        <v>1</v>
      </c>
      <c r="I64" s="465">
        <v>0</v>
      </c>
      <c r="J64" s="327">
        <v>0</v>
      </c>
      <c r="K64" s="31">
        <f aca="true" t="shared" si="12" ref="K64:K78">SUM(H64:J64)</f>
        <v>1</v>
      </c>
    </row>
    <row r="65" spans="1:11" ht="14.25" customHeight="1">
      <c r="A65" s="183">
        <f>'55'!A65</f>
        <v>2</v>
      </c>
      <c r="B65" s="30" t="str">
        <f>'55'!B65</f>
        <v>Lamandau</v>
      </c>
      <c r="C65" s="258">
        <v>1</v>
      </c>
      <c r="D65" s="230">
        <v>0</v>
      </c>
      <c r="E65" s="230">
        <v>2</v>
      </c>
      <c r="F65" s="258">
        <v>0</v>
      </c>
      <c r="G65" s="31">
        <f t="shared" si="11"/>
        <v>3</v>
      </c>
      <c r="H65" s="258">
        <v>0</v>
      </c>
      <c r="I65" s="230">
        <v>2</v>
      </c>
      <c r="J65" s="258">
        <v>0</v>
      </c>
      <c r="K65" s="31">
        <f t="shared" si="12"/>
        <v>2</v>
      </c>
    </row>
    <row r="66" spans="1:11" ht="14.25" customHeight="1">
      <c r="A66" s="183">
        <f>'55'!A66</f>
        <v>3</v>
      </c>
      <c r="B66" s="30" t="str">
        <f>'55'!B66</f>
        <v>Sukamara</v>
      </c>
      <c r="C66" s="258">
        <v>1</v>
      </c>
      <c r="D66" s="230">
        <v>0</v>
      </c>
      <c r="E66" s="230">
        <v>0</v>
      </c>
      <c r="F66" s="258">
        <v>1</v>
      </c>
      <c r="G66" s="31">
        <f t="shared" si="11"/>
        <v>2</v>
      </c>
      <c r="H66" s="258">
        <v>1</v>
      </c>
      <c r="I66" s="230">
        <v>1</v>
      </c>
      <c r="J66" s="258">
        <v>0</v>
      </c>
      <c r="K66" s="31">
        <f t="shared" si="12"/>
        <v>2</v>
      </c>
    </row>
    <row r="67" spans="1:11" ht="14.25" customHeight="1">
      <c r="A67" s="183">
        <f>'55'!A67</f>
        <v>4</v>
      </c>
      <c r="B67" s="30" t="str">
        <f>'55'!B67</f>
        <v>Kotawaringin Timur</v>
      </c>
      <c r="C67" s="230">
        <v>2</v>
      </c>
      <c r="D67" s="230">
        <v>0</v>
      </c>
      <c r="E67" s="230">
        <v>1</v>
      </c>
      <c r="F67" s="230">
        <v>6</v>
      </c>
      <c r="G67" s="139">
        <f t="shared" si="11"/>
        <v>9</v>
      </c>
      <c r="H67" s="230">
        <v>2</v>
      </c>
      <c r="I67" s="230">
        <v>0</v>
      </c>
      <c r="J67" s="230">
        <v>0</v>
      </c>
      <c r="K67" s="139">
        <f t="shared" si="12"/>
        <v>2</v>
      </c>
    </row>
    <row r="68" spans="1:11" ht="14.25" customHeight="1">
      <c r="A68" s="183">
        <f>'55'!A68</f>
        <v>5</v>
      </c>
      <c r="B68" s="30" t="str">
        <f>'55'!B68</f>
        <v>Seruyan</v>
      </c>
      <c r="C68" s="258">
        <v>1</v>
      </c>
      <c r="D68" s="230">
        <v>0</v>
      </c>
      <c r="E68" s="230">
        <v>1</v>
      </c>
      <c r="F68" s="258">
        <v>0</v>
      </c>
      <c r="G68" s="31">
        <f t="shared" si="11"/>
        <v>2</v>
      </c>
      <c r="H68" s="230">
        <v>0</v>
      </c>
      <c r="I68" s="230">
        <v>2</v>
      </c>
      <c r="J68" s="230">
        <v>1</v>
      </c>
      <c r="K68" s="139">
        <f t="shared" si="12"/>
        <v>3</v>
      </c>
    </row>
    <row r="69" spans="1:11" ht="14.25" customHeight="1">
      <c r="A69" s="183">
        <f>'55'!A69</f>
        <v>6</v>
      </c>
      <c r="B69" s="30" t="str">
        <f>'55'!B69</f>
        <v>Katingan</v>
      </c>
      <c r="C69" s="258">
        <v>3</v>
      </c>
      <c r="D69" s="230">
        <v>0</v>
      </c>
      <c r="E69" s="230">
        <v>1</v>
      </c>
      <c r="F69" s="258">
        <v>1</v>
      </c>
      <c r="G69" s="31">
        <f t="shared" si="11"/>
        <v>5</v>
      </c>
      <c r="H69" s="258">
        <v>0</v>
      </c>
      <c r="I69" s="230">
        <v>1</v>
      </c>
      <c r="J69" s="258">
        <v>0</v>
      </c>
      <c r="K69" s="31">
        <f t="shared" si="12"/>
        <v>1</v>
      </c>
    </row>
    <row r="70" spans="1:11" ht="14.25" customHeight="1">
      <c r="A70" s="183">
        <f>'55'!A70</f>
        <v>7</v>
      </c>
      <c r="B70" s="30" t="str">
        <f>'55'!B70</f>
        <v>Kapuas</v>
      </c>
      <c r="C70" s="258">
        <v>0</v>
      </c>
      <c r="D70" s="230">
        <v>0</v>
      </c>
      <c r="E70" s="230">
        <v>0</v>
      </c>
      <c r="F70" s="258">
        <v>0</v>
      </c>
      <c r="G70" s="31">
        <f t="shared" si="11"/>
        <v>0</v>
      </c>
      <c r="H70" s="258">
        <v>0</v>
      </c>
      <c r="I70" s="230">
        <v>2</v>
      </c>
      <c r="J70" s="258">
        <v>3</v>
      </c>
      <c r="K70" s="31">
        <f t="shared" si="12"/>
        <v>5</v>
      </c>
    </row>
    <row r="71" spans="1:11" ht="14.25" customHeight="1">
      <c r="A71" s="183">
        <f>'55'!A71</f>
        <v>8</v>
      </c>
      <c r="B71" s="30" t="str">
        <f>'55'!B71</f>
        <v>Pulang Pisau</v>
      </c>
      <c r="C71" s="230">
        <v>1</v>
      </c>
      <c r="D71" s="230">
        <v>0</v>
      </c>
      <c r="E71" s="230">
        <v>0</v>
      </c>
      <c r="F71" s="230">
        <v>0</v>
      </c>
      <c r="G71" s="139">
        <f t="shared" si="11"/>
        <v>1</v>
      </c>
      <c r="H71" s="230">
        <v>0</v>
      </c>
      <c r="I71" s="230">
        <v>2</v>
      </c>
      <c r="J71" s="230">
        <v>0</v>
      </c>
      <c r="K71" s="139">
        <f t="shared" si="12"/>
        <v>2</v>
      </c>
    </row>
    <row r="72" spans="1:11" ht="14.25" customHeight="1">
      <c r="A72" s="183">
        <f>'55'!A72</f>
        <v>9</v>
      </c>
      <c r="B72" s="30" t="str">
        <f>'55'!B72</f>
        <v>Gunung Mas</v>
      </c>
      <c r="C72" s="258">
        <v>2</v>
      </c>
      <c r="D72" s="230">
        <v>0</v>
      </c>
      <c r="E72" s="230">
        <v>0</v>
      </c>
      <c r="F72" s="258">
        <v>1</v>
      </c>
      <c r="G72" s="31">
        <f t="shared" si="11"/>
        <v>3</v>
      </c>
      <c r="H72" s="230">
        <v>0</v>
      </c>
      <c r="I72" s="230">
        <v>1</v>
      </c>
      <c r="J72" s="230">
        <v>0</v>
      </c>
      <c r="K72" s="139">
        <f t="shared" si="12"/>
        <v>1</v>
      </c>
    </row>
    <row r="73" spans="1:11" ht="14.25" customHeight="1">
      <c r="A73" s="183">
        <f>'55'!A73</f>
        <v>10</v>
      </c>
      <c r="B73" s="30" t="str">
        <f>'55'!B73</f>
        <v>Barito Selatan</v>
      </c>
      <c r="C73" s="258">
        <v>1</v>
      </c>
      <c r="D73" s="230">
        <v>0</v>
      </c>
      <c r="E73" s="230">
        <v>0</v>
      </c>
      <c r="F73" s="258">
        <v>4</v>
      </c>
      <c r="G73" s="31">
        <f t="shared" si="11"/>
        <v>5</v>
      </c>
      <c r="H73" s="258">
        <v>2</v>
      </c>
      <c r="I73" s="230">
        <v>1</v>
      </c>
      <c r="J73" s="258">
        <v>0</v>
      </c>
      <c r="K73" s="31">
        <f t="shared" si="12"/>
        <v>3</v>
      </c>
    </row>
    <row r="74" spans="1:11" ht="14.25" customHeight="1">
      <c r="A74" s="183">
        <f>'55'!A74</f>
        <v>11</v>
      </c>
      <c r="B74" s="30" t="str">
        <f>'55'!B74</f>
        <v>Barito Timur</v>
      </c>
      <c r="C74" s="230">
        <v>1</v>
      </c>
      <c r="D74" s="230">
        <v>0</v>
      </c>
      <c r="E74" s="230">
        <v>0</v>
      </c>
      <c r="F74" s="230">
        <v>1</v>
      </c>
      <c r="G74" s="139">
        <f t="shared" si="11"/>
        <v>2</v>
      </c>
      <c r="H74" s="258">
        <v>0</v>
      </c>
      <c r="I74" s="230">
        <v>2</v>
      </c>
      <c r="J74" s="258">
        <v>0</v>
      </c>
      <c r="K74" s="31">
        <f t="shared" si="12"/>
        <v>2</v>
      </c>
    </row>
    <row r="75" spans="1:11" ht="14.25" customHeight="1">
      <c r="A75" s="183">
        <f>'55'!A75</f>
        <v>12</v>
      </c>
      <c r="B75" s="30" t="str">
        <f>'55'!B75</f>
        <v>Barito Utara</v>
      </c>
      <c r="C75" s="258">
        <v>2</v>
      </c>
      <c r="D75" s="230">
        <v>0</v>
      </c>
      <c r="E75" s="230">
        <v>0</v>
      </c>
      <c r="F75" s="258">
        <v>0</v>
      </c>
      <c r="G75" s="31">
        <f t="shared" si="11"/>
        <v>2</v>
      </c>
      <c r="H75" s="258">
        <v>0</v>
      </c>
      <c r="I75" s="230">
        <v>1</v>
      </c>
      <c r="J75" s="258">
        <v>0</v>
      </c>
      <c r="K75" s="31">
        <f t="shared" si="12"/>
        <v>1</v>
      </c>
    </row>
    <row r="76" spans="1:11" ht="14.25" customHeight="1">
      <c r="A76" s="183">
        <f>'55'!A76</f>
        <v>13</v>
      </c>
      <c r="B76" s="30" t="str">
        <f>'55'!B76</f>
        <v>Murung Raya</v>
      </c>
      <c r="C76" s="258">
        <v>1</v>
      </c>
      <c r="D76" s="230">
        <v>0</v>
      </c>
      <c r="E76" s="230">
        <v>0</v>
      </c>
      <c r="F76" s="258">
        <v>1</v>
      </c>
      <c r="G76" s="31">
        <f t="shared" si="11"/>
        <v>2</v>
      </c>
      <c r="H76" s="230">
        <v>0</v>
      </c>
      <c r="I76" s="230">
        <v>0</v>
      </c>
      <c r="J76" s="230">
        <v>1</v>
      </c>
      <c r="K76" s="139">
        <f t="shared" si="12"/>
        <v>1</v>
      </c>
    </row>
    <row r="77" spans="1:11" ht="14.25" customHeight="1">
      <c r="A77" s="183">
        <f>'55'!A77</f>
        <v>14</v>
      </c>
      <c r="B77" s="30" t="str">
        <f>'55'!B77</f>
        <v>Palangka Raya</v>
      </c>
      <c r="C77" s="258">
        <v>4</v>
      </c>
      <c r="D77" s="230">
        <v>1</v>
      </c>
      <c r="E77" s="230">
        <v>1</v>
      </c>
      <c r="F77" s="258">
        <v>3</v>
      </c>
      <c r="G77" s="31">
        <f t="shared" si="11"/>
        <v>9</v>
      </c>
      <c r="H77" s="258">
        <v>0</v>
      </c>
      <c r="I77" s="230">
        <v>1</v>
      </c>
      <c r="J77" s="258">
        <v>0</v>
      </c>
      <c r="K77" s="31">
        <f t="shared" si="12"/>
        <v>1</v>
      </c>
    </row>
    <row r="78" spans="1:11" ht="14.25" customHeight="1">
      <c r="A78" s="183">
        <f>'55'!A78</f>
        <v>15</v>
      </c>
      <c r="B78" s="30" t="str">
        <f>'55'!B78</f>
        <v>Provinsi Kalimantan Tengah</v>
      </c>
      <c r="C78" s="258">
        <v>2</v>
      </c>
      <c r="D78" s="230">
        <v>0</v>
      </c>
      <c r="E78" s="230">
        <v>0</v>
      </c>
      <c r="F78" s="258">
        <v>3</v>
      </c>
      <c r="G78" s="31">
        <f t="shared" si="11"/>
        <v>5</v>
      </c>
      <c r="H78" s="258">
        <v>0</v>
      </c>
      <c r="I78" s="230">
        <v>2</v>
      </c>
      <c r="J78" s="258">
        <v>0</v>
      </c>
      <c r="K78" s="31">
        <f t="shared" si="12"/>
        <v>2</v>
      </c>
    </row>
    <row r="79" spans="1:11" ht="14.25" customHeight="1">
      <c r="A79" s="232"/>
      <c r="B79" s="35"/>
      <c r="C79" s="324"/>
      <c r="D79" s="233"/>
      <c r="E79" s="233"/>
      <c r="F79" s="324"/>
      <c r="G79" s="324"/>
      <c r="H79" s="324"/>
      <c r="I79" s="233"/>
      <c r="J79" s="324"/>
      <c r="K79" s="324"/>
    </row>
    <row r="80" spans="1:11" ht="19.5" customHeight="1" thickBot="1">
      <c r="A80" s="165" t="s">
        <v>859</v>
      </c>
      <c r="B80" s="108"/>
      <c r="C80" s="331">
        <f aca="true" t="shared" si="13" ref="C80:K80">C26+C46+C47+C53+C63</f>
        <v>90</v>
      </c>
      <c r="D80" s="331">
        <f t="shared" si="13"/>
        <v>12</v>
      </c>
      <c r="E80" s="331">
        <f t="shared" si="13"/>
        <v>34</v>
      </c>
      <c r="F80" s="331">
        <f t="shared" si="13"/>
        <v>125</v>
      </c>
      <c r="G80" s="331">
        <f t="shared" si="13"/>
        <v>261</v>
      </c>
      <c r="H80" s="331">
        <f t="shared" si="13"/>
        <v>17</v>
      </c>
      <c r="I80" s="331">
        <f t="shared" si="13"/>
        <v>200</v>
      </c>
      <c r="J80" s="331">
        <f t="shared" si="13"/>
        <v>57</v>
      </c>
      <c r="K80" s="331">
        <f t="shared" si="13"/>
        <v>274</v>
      </c>
    </row>
    <row r="81" spans="1:11" ht="19.5" customHeight="1" thickBot="1">
      <c r="A81" s="243" t="s">
        <v>94</v>
      </c>
      <c r="B81" s="39"/>
      <c r="C81" s="332">
        <f>C80/1!G27*100000</f>
        <v>4.121505650126301</v>
      </c>
      <c r="D81" s="333"/>
      <c r="E81" s="333"/>
      <c r="F81" s="333"/>
      <c r="G81" s="333"/>
      <c r="H81" s="332">
        <f>H80/1!G27*100000</f>
        <v>0.7785066228016346</v>
      </c>
      <c r="I81" s="332">
        <f>I80/1!G27*100000</f>
        <v>9.158901444725114</v>
      </c>
      <c r="J81" s="207"/>
      <c r="K81" s="207"/>
    </row>
    <row r="82" spans="8:9" ht="15">
      <c r="H82" s="18"/>
      <c r="I82" s="18"/>
    </row>
    <row r="83" spans="1:11" ht="15">
      <c r="A83" s="133" t="s">
        <v>957</v>
      </c>
      <c r="C83" s="42"/>
      <c r="D83" s="42"/>
      <c r="E83" s="42"/>
      <c r="F83" s="42"/>
      <c r="G83" s="42"/>
      <c r="H83" s="42"/>
      <c r="I83" s="42"/>
      <c r="J83" s="42"/>
      <c r="K83" s="42"/>
    </row>
    <row r="84" spans="2:11" ht="15">
      <c r="B84" s="14" t="s">
        <v>958</v>
      </c>
      <c r="C84" s="42"/>
      <c r="D84" s="42"/>
      <c r="E84" s="42"/>
      <c r="F84" s="42"/>
      <c r="G84" s="42"/>
      <c r="H84" s="42"/>
      <c r="I84" s="42"/>
      <c r="J84" s="42"/>
      <c r="K84" s="42"/>
    </row>
    <row r="85" spans="2:11" ht="15">
      <c r="B85" s="14" t="s">
        <v>961</v>
      </c>
      <c r="C85" s="42"/>
      <c r="D85" s="42"/>
      <c r="E85" s="42"/>
      <c r="F85" s="42"/>
      <c r="G85" s="42"/>
      <c r="H85" s="42"/>
      <c r="I85" s="42"/>
      <c r="J85" s="42"/>
      <c r="K85" s="42"/>
    </row>
    <row r="86" spans="2:11" ht="15">
      <c r="B86" s="14" t="s">
        <v>960</v>
      </c>
      <c r="C86" s="42"/>
      <c r="D86" s="42"/>
      <c r="E86" s="42"/>
      <c r="F86" s="42"/>
      <c r="G86" s="42"/>
      <c r="H86" s="42"/>
      <c r="I86" s="42"/>
      <c r="J86" s="42"/>
      <c r="K86" s="42"/>
    </row>
    <row r="87" spans="2:11" ht="15">
      <c r="B87" s="14" t="s">
        <v>959</v>
      </c>
      <c r="C87" s="42"/>
      <c r="D87" s="42"/>
      <c r="E87" s="42"/>
      <c r="F87" s="42"/>
      <c r="G87" s="42"/>
      <c r="H87" s="42"/>
      <c r="I87" s="42"/>
      <c r="J87" s="42"/>
      <c r="K87" s="42"/>
    </row>
    <row r="88" ht="15">
      <c r="A88" s="133" t="s">
        <v>14</v>
      </c>
    </row>
    <row r="89" ht="15">
      <c r="B89" s="14" t="s">
        <v>950</v>
      </c>
    </row>
  </sheetData>
  <mergeCells count="5">
    <mergeCell ref="A3:K3"/>
    <mergeCell ref="A7:A8"/>
    <mergeCell ref="B7:B8"/>
    <mergeCell ref="A4:K4"/>
    <mergeCell ref="A5:K5"/>
  </mergeCells>
  <printOptions horizontalCentered="1"/>
  <pageMargins left="0.7086614173228347" right="0.11811023622047245" top="0.7874015748031497" bottom="0.7874015748031497" header="0" footer="0.7874015748031497"/>
  <pageSetup horizontalDpi="300" verticalDpi="300" orientation="portrait" paperSize="9" scale="55" r:id="rId2"/>
  <headerFooter alignWithMargins="0">
    <oddFooter>&amp;C113</oddFoot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35"/>
  <dimension ref="A1:M89"/>
  <sheetViews>
    <sheetView view="pageBreakPreview" zoomScale="60" zoomScaleNormal="75" workbookViewId="0" topLeftCell="A1">
      <selection activeCell="A83" sqref="A83:B89"/>
    </sheetView>
  </sheetViews>
  <sheetFormatPr defaultColWidth="9.140625" defaultRowHeight="12.75"/>
  <cols>
    <col min="1" max="1" width="5.7109375" style="133" customWidth="1"/>
    <col min="2" max="2" width="35.7109375" style="14" customWidth="1"/>
    <col min="3" max="10" width="16.7109375" style="14" customWidth="1"/>
    <col min="11" max="16384" width="9.140625" style="14" customWidth="1"/>
  </cols>
  <sheetData>
    <row r="1" ht="15">
      <c r="A1" s="132" t="s">
        <v>809</v>
      </c>
    </row>
    <row r="3" spans="1:10" ht="15">
      <c r="A3" s="654" t="s">
        <v>112</v>
      </c>
      <c r="B3" s="654"/>
      <c r="C3" s="654"/>
      <c r="D3" s="654"/>
      <c r="E3" s="654"/>
      <c r="F3" s="654"/>
      <c r="G3" s="654"/>
      <c r="H3" s="654"/>
      <c r="I3" s="654"/>
      <c r="J3" s="654"/>
    </row>
    <row r="4" spans="1:10" ht="15">
      <c r="A4" s="641" t="str">
        <f>1!A5</f>
        <v>PROVINSI KALIMANTAN TENGAH</v>
      </c>
      <c r="B4" s="641"/>
      <c r="C4" s="641"/>
      <c r="D4" s="641"/>
      <c r="E4" s="641"/>
      <c r="F4" s="641"/>
      <c r="G4" s="641"/>
      <c r="H4" s="641"/>
      <c r="I4" s="641"/>
      <c r="J4" s="641"/>
    </row>
    <row r="5" spans="1:10" ht="15">
      <c r="A5" s="641" t="str">
        <f>1!A6</f>
        <v>TAHUN 2009</v>
      </c>
      <c r="B5" s="641"/>
      <c r="C5" s="641"/>
      <c r="D5" s="641"/>
      <c r="E5" s="641"/>
      <c r="F5" s="641"/>
      <c r="G5" s="641"/>
      <c r="H5" s="641"/>
      <c r="I5" s="641"/>
      <c r="J5" s="641"/>
    </row>
    <row r="6" ht="15.75" thickBot="1"/>
    <row r="7" spans="1:10" ht="18" customHeight="1">
      <c r="A7" s="637" t="s">
        <v>2</v>
      </c>
      <c r="B7" s="637" t="s">
        <v>53</v>
      </c>
      <c r="C7" s="44" t="s">
        <v>88</v>
      </c>
      <c r="D7" s="44"/>
      <c r="E7" s="44"/>
      <c r="F7" s="44"/>
      <c r="G7" s="44"/>
      <c r="H7" s="44"/>
      <c r="I7" s="44"/>
      <c r="J7" s="44"/>
    </row>
    <row r="8" spans="1:10" ht="18" customHeight="1">
      <c r="A8" s="638"/>
      <c r="B8" s="638"/>
      <c r="C8" s="338" t="s">
        <v>100</v>
      </c>
      <c r="D8" s="24"/>
      <c r="E8" s="338"/>
      <c r="F8" s="338"/>
      <c r="G8" s="338"/>
      <c r="H8" s="338" t="s">
        <v>93</v>
      </c>
      <c r="I8" s="338"/>
      <c r="J8" s="338"/>
    </row>
    <row r="9" spans="1:10" ht="18" customHeight="1">
      <c r="A9" s="638"/>
      <c r="B9" s="707"/>
      <c r="C9" s="202" t="s">
        <v>89</v>
      </c>
      <c r="D9" s="49" t="s">
        <v>90</v>
      </c>
      <c r="E9" s="194" t="s">
        <v>92</v>
      </c>
      <c r="F9" s="194" t="s">
        <v>21</v>
      </c>
      <c r="G9" s="194" t="s">
        <v>917</v>
      </c>
      <c r="H9" s="194" t="s">
        <v>91</v>
      </c>
      <c r="I9" s="194" t="s">
        <v>93</v>
      </c>
      <c r="J9" s="25" t="s">
        <v>21</v>
      </c>
    </row>
    <row r="10" spans="1:10" ht="15">
      <c r="A10" s="59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/>
      <c r="H10" s="11">
        <v>7</v>
      </c>
      <c r="I10" s="11">
        <v>8</v>
      </c>
      <c r="J10" s="11">
        <v>9</v>
      </c>
    </row>
    <row r="11" spans="1:10" ht="15" customHeight="1">
      <c r="A11" s="183" t="s">
        <v>279</v>
      </c>
      <c r="B11" s="30" t="s">
        <v>886</v>
      </c>
      <c r="C11" s="258"/>
      <c r="D11" s="230"/>
      <c r="E11" s="31"/>
      <c r="F11" s="31">
        <f>SUM(C11:E11)</f>
        <v>0</v>
      </c>
      <c r="G11" s="31"/>
      <c r="H11" s="31"/>
      <c r="I11" s="139"/>
      <c r="J11" s="196">
        <f>SUM(H11:I11)</f>
        <v>0</v>
      </c>
    </row>
    <row r="12" spans="1:11" ht="15" customHeight="1">
      <c r="A12" s="183">
        <f>'55'!A11</f>
        <v>1</v>
      </c>
      <c r="B12" s="30" t="str">
        <f>'55'!B11</f>
        <v>Kotawaringin Barat</v>
      </c>
      <c r="C12" s="230">
        <v>3</v>
      </c>
      <c r="D12" s="230">
        <v>48</v>
      </c>
      <c r="E12" s="139">
        <v>71</v>
      </c>
      <c r="F12" s="139">
        <f aca="true" t="shared" si="0" ref="F12:F20">SUM(C12:E12)</f>
        <v>122</v>
      </c>
      <c r="G12" s="139">
        <v>0</v>
      </c>
      <c r="H12" s="139">
        <v>27</v>
      </c>
      <c r="I12" s="139">
        <v>75</v>
      </c>
      <c r="J12" s="139">
        <f aca="true" t="shared" si="1" ref="J12:J24">SUM(G12:I12)</f>
        <v>102</v>
      </c>
      <c r="K12" s="466"/>
    </row>
    <row r="13" spans="1:10" ht="15" customHeight="1">
      <c r="A13" s="183">
        <f>'55'!A12</f>
        <v>2</v>
      </c>
      <c r="B13" s="30" t="str">
        <f>'55'!B12</f>
        <v>Lamandau</v>
      </c>
      <c r="C13" s="258">
        <v>0</v>
      </c>
      <c r="D13" s="230">
        <v>88</v>
      </c>
      <c r="E13" s="31">
        <v>47</v>
      </c>
      <c r="F13" s="31">
        <f t="shared" si="0"/>
        <v>135</v>
      </c>
      <c r="G13" s="31">
        <v>0</v>
      </c>
      <c r="H13" s="31">
        <v>10</v>
      </c>
      <c r="I13" s="139">
        <v>31</v>
      </c>
      <c r="J13" s="139">
        <f t="shared" si="1"/>
        <v>41</v>
      </c>
    </row>
    <row r="14" spans="1:11" ht="15" customHeight="1">
      <c r="A14" s="183">
        <f>'55'!A13</f>
        <v>3</v>
      </c>
      <c r="B14" s="138" t="str">
        <f>'55'!B13</f>
        <v>Sukamara</v>
      </c>
      <c r="C14" s="230">
        <v>0</v>
      </c>
      <c r="D14" s="230">
        <v>36</v>
      </c>
      <c r="E14" s="139">
        <v>25</v>
      </c>
      <c r="F14" s="139">
        <f t="shared" si="0"/>
        <v>61</v>
      </c>
      <c r="G14" s="139">
        <v>0</v>
      </c>
      <c r="H14" s="139">
        <v>17</v>
      </c>
      <c r="I14" s="139">
        <v>16</v>
      </c>
      <c r="J14" s="139">
        <f t="shared" si="1"/>
        <v>33</v>
      </c>
      <c r="K14" s="466"/>
    </row>
    <row r="15" spans="1:10" ht="15" customHeight="1">
      <c r="A15" s="183">
        <f>'55'!A14</f>
        <v>4</v>
      </c>
      <c r="B15" s="30" t="str">
        <f>'55'!B14</f>
        <v>Kotawaringin Timur</v>
      </c>
      <c r="C15" s="258">
        <v>2</v>
      </c>
      <c r="D15" s="230">
        <v>116</v>
      </c>
      <c r="E15" s="31">
        <v>128</v>
      </c>
      <c r="F15" s="31">
        <f t="shared" si="0"/>
        <v>246</v>
      </c>
      <c r="G15" s="31">
        <v>0</v>
      </c>
      <c r="H15" s="31">
        <v>20</v>
      </c>
      <c r="I15" s="139">
        <v>100</v>
      </c>
      <c r="J15" s="139">
        <f t="shared" si="1"/>
        <v>120</v>
      </c>
    </row>
    <row r="16" spans="1:10" ht="15" customHeight="1">
      <c r="A16" s="183">
        <f>'55'!A15</f>
        <v>5</v>
      </c>
      <c r="B16" s="30" t="str">
        <f>'55'!B15</f>
        <v>Seruyan</v>
      </c>
      <c r="C16" s="258">
        <v>1</v>
      </c>
      <c r="D16" s="230">
        <v>47</v>
      </c>
      <c r="E16" s="31">
        <v>45</v>
      </c>
      <c r="F16" s="31">
        <f t="shared" si="0"/>
        <v>93</v>
      </c>
      <c r="G16" s="31">
        <v>0</v>
      </c>
      <c r="H16" s="31">
        <v>14</v>
      </c>
      <c r="I16" s="139">
        <v>41</v>
      </c>
      <c r="J16" s="139">
        <f t="shared" si="1"/>
        <v>55</v>
      </c>
    </row>
    <row r="17" spans="1:10" ht="15" customHeight="1">
      <c r="A17" s="183">
        <f>'55'!A16</f>
        <v>6</v>
      </c>
      <c r="B17" s="30" t="str">
        <f>'55'!B16</f>
        <v>Katingan</v>
      </c>
      <c r="C17" s="258">
        <v>0</v>
      </c>
      <c r="D17" s="230">
        <v>91</v>
      </c>
      <c r="E17" s="31">
        <f>90+17</f>
        <v>107</v>
      </c>
      <c r="F17" s="31">
        <f t="shared" si="0"/>
        <v>198</v>
      </c>
      <c r="G17" s="31">
        <v>0</v>
      </c>
      <c r="H17" s="31">
        <v>35</v>
      </c>
      <c r="I17" s="139">
        <v>63</v>
      </c>
      <c r="J17" s="139">
        <f t="shared" si="1"/>
        <v>98</v>
      </c>
    </row>
    <row r="18" spans="1:10" ht="15" customHeight="1">
      <c r="A18" s="183">
        <f>'55'!A17</f>
        <v>7</v>
      </c>
      <c r="B18" s="30" t="str">
        <f>'55'!B17</f>
        <v>Kapuas</v>
      </c>
      <c r="C18" s="230">
        <v>3</v>
      </c>
      <c r="D18" s="230">
        <v>72</v>
      </c>
      <c r="E18" s="139">
        <v>132</v>
      </c>
      <c r="F18" s="139">
        <f t="shared" si="0"/>
        <v>207</v>
      </c>
      <c r="G18" s="139">
        <v>0</v>
      </c>
      <c r="H18" s="139">
        <v>33</v>
      </c>
      <c r="I18" s="139">
        <v>135</v>
      </c>
      <c r="J18" s="139">
        <f t="shared" si="1"/>
        <v>168</v>
      </c>
    </row>
    <row r="19" spans="1:11" ht="15" customHeight="1">
      <c r="A19" s="183">
        <f>'55'!A18</f>
        <v>8</v>
      </c>
      <c r="B19" s="138" t="str">
        <f>'55'!B18</f>
        <v>Pulang Pisau</v>
      </c>
      <c r="C19" s="230">
        <v>0</v>
      </c>
      <c r="D19" s="230">
        <v>29</v>
      </c>
      <c r="E19" s="139">
        <v>67</v>
      </c>
      <c r="F19" s="139">
        <f t="shared" si="0"/>
        <v>96</v>
      </c>
      <c r="G19" s="139">
        <v>0</v>
      </c>
      <c r="H19" s="139">
        <v>12</v>
      </c>
      <c r="I19" s="139">
        <v>87</v>
      </c>
      <c r="J19" s="139">
        <f t="shared" si="1"/>
        <v>99</v>
      </c>
      <c r="K19" s="466"/>
    </row>
    <row r="20" spans="1:10" ht="15" customHeight="1">
      <c r="A20" s="183">
        <f>'55'!A19</f>
        <v>9</v>
      </c>
      <c r="B20" s="30" t="str">
        <f>'55'!B19</f>
        <v>Gunung Mas</v>
      </c>
      <c r="C20" s="258">
        <v>1</v>
      </c>
      <c r="D20" s="230">
        <v>63</v>
      </c>
      <c r="E20" s="31">
        <v>58</v>
      </c>
      <c r="F20" s="31">
        <f t="shared" si="0"/>
        <v>122</v>
      </c>
      <c r="G20" s="31">
        <v>0</v>
      </c>
      <c r="H20" s="31">
        <v>28</v>
      </c>
      <c r="I20" s="139">
        <v>45</v>
      </c>
      <c r="J20" s="139">
        <f t="shared" si="1"/>
        <v>73</v>
      </c>
    </row>
    <row r="21" spans="1:10" ht="15" customHeight="1">
      <c r="A21" s="183">
        <f>'55'!A20</f>
        <v>10</v>
      </c>
      <c r="B21" s="30" t="str">
        <f>'55'!B20</f>
        <v>Barito Selatan</v>
      </c>
      <c r="C21" s="258">
        <v>0</v>
      </c>
      <c r="D21" s="230">
        <v>40</v>
      </c>
      <c r="E21" s="31">
        <v>74</v>
      </c>
      <c r="F21" s="31">
        <f aca="true" t="shared" si="2" ref="F21:F26">SUM(C21:E21)</f>
        <v>114</v>
      </c>
      <c r="G21" s="31">
        <v>0</v>
      </c>
      <c r="H21" s="31">
        <v>3</v>
      </c>
      <c r="I21" s="139">
        <v>60</v>
      </c>
      <c r="J21" s="139">
        <f t="shared" si="1"/>
        <v>63</v>
      </c>
    </row>
    <row r="22" spans="1:10" ht="15" customHeight="1">
      <c r="A22" s="183">
        <f>'55'!A21</f>
        <v>11</v>
      </c>
      <c r="B22" s="30" t="str">
        <f>'55'!B21</f>
        <v>Barito Timur</v>
      </c>
      <c r="C22" s="230">
        <v>1</v>
      </c>
      <c r="D22" s="230">
        <v>59</v>
      </c>
      <c r="E22" s="139">
        <v>52</v>
      </c>
      <c r="F22" s="139">
        <f t="shared" si="2"/>
        <v>112</v>
      </c>
      <c r="G22" s="139">
        <v>0</v>
      </c>
      <c r="H22" s="139">
        <v>9</v>
      </c>
      <c r="I22" s="139">
        <v>67</v>
      </c>
      <c r="J22" s="139">
        <f t="shared" si="1"/>
        <v>76</v>
      </c>
    </row>
    <row r="23" spans="1:10" ht="15" customHeight="1">
      <c r="A23" s="183">
        <f>'55'!A22</f>
        <v>12</v>
      </c>
      <c r="B23" s="30" t="str">
        <f>'55'!B22</f>
        <v>Barito Utara</v>
      </c>
      <c r="C23" s="230">
        <v>2</v>
      </c>
      <c r="D23" s="230">
        <v>61</v>
      </c>
      <c r="E23" s="139">
        <v>65</v>
      </c>
      <c r="F23" s="139">
        <f t="shared" si="2"/>
        <v>128</v>
      </c>
      <c r="G23" s="139">
        <v>0</v>
      </c>
      <c r="H23" s="139">
        <v>21</v>
      </c>
      <c r="I23" s="139">
        <v>70</v>
      </c>
      <c r="J23" s="139">
        <f t="shared" si="1"/>
        <v>91</v>
      </c>
    </row>
    <row r="24" spans="1:10" ht="15" customHeight="1">
      <c r="A24" s="183">
        <f>'55'!A23</f>
        <v>13</v>
      </c>
      <c r="B24" s="30" t="str">
        <f>'55'!B23</f>
        <v>Murung Raya</v>
      </c>
      <c r="C24" s="258">
        <v>2</v>
      </c>
      <c r="D24" s="230">
        <v>54</v>
      </c>
      <c r="E24" s="31">
        <v>44</v>
      </c>
      <c r="F24" s="31">
        <f t="shared" si="2"/>
        <v>100</v>
      </c>
      <c r="G24" s="31">
        <v>0</v>
      </c>
      <c r="H24" s="31">
        <v>13</v>
      </c>
      <c r="I24" s="139">
        <v>41</v>
      </c>
      <c r="J24" s="139">
        <f t="shared" si="1"/>
        <v>54</v>
      </c>
    </row>
    <row r="25" spans="1:10" ht="15" customHeight="1">
      <c r="A25" s="183">
        <f>'55'!A24</f>
        <v>14</v>
      </c>
      <c r="B25" s="30" t="str">
        <f>'55'!B24</f>
        <v>Palangka Raya</v>
      </c>
      <c r="C25" s="258">
        <v>4</v>
      </c>
      <c r="D25" s="230">
        <v>47</v>
      </c>
      <c r="E25" s="31">
        <v>85</v>
      </c>
      <c r="F25" s="31">
        <f t="shared" si="2"/>
        <v>136</v>
      </c>
      <c r="G25" s="31">
        <v>5</v>
      </c>
      <c r="H25" s="139">
        <v>45</v>
      </c>
      <c r="I25" s="139">
        <v>92</v>
      </c>
      <c r="J25" s="139">
        <f>SUM(G25:I25)</f>
        <v>142</v>
      </c>
    </row>
    <row r="26" spans="1:10" ht="15" customHeight="1">
      <c r="A26" s="232"/>
      <c r="B26" s="35"/>
      <c r="C26" s="324"/>
      <c r="D26" s="233"/>
      <c r="E26" s="36"/>
      <c r="F26" s="31">
        <f t="shared" si="2"/>
        <v>0</v>
      </c>
      <c r="G26" s="31"/>
      <c r="H26" s="31"/>
      <c r="I26" s="139"/>
      <c r="J26" s="31">
        <f>SUM(H26:I26)</f>
        <v>0</v>
      </c>
    </row>
    <row r="27" spans="1:10" ht="19.5" customHeight="1">
      <c r="A27" s="138" t="s">
        <v>62</v>
      </c>
      <c r="B27" s="30"/>
      <c r="C27" s="258">
        <f aca="true" t="shared" si="3" ref="C27:J27">SUM(C11:C26)</f>
        <v>19</v>
      </c>
      <c r="D27" s="258">
        <f t="shared" si="3"/>
        <v>851</v>
      </c>
      <c r="E27" s="258">
        <f t="shared" si="3"/>
        <v>1000</v>
      </c>
      <c r="F27" s="109">
        <f t="shared" si="3"/>
        <v>1870</v>
      </c>
      <c r="G27" s="331"/>
      <c r="H27" s="331">
        <f t="shared" si="3"/>
        <v>287</v>
      </c>
      <c r="I27" s="331">
        <f t="shared" si="3"/>
        <v>923</v>
      </c>
      <c r="J27" s="331">
        <f t="shared" si="3"/>
        <v>1215</v>
      </c>
    </row>
    <row r="28" spans="1:10" ht="15" customHeight="1">
      <c r="A28" s="142" t="s">
        <v>871</v>
      </c>
      <c r="B28" s="178" t="s">
        <v>428</v>
      </c>
      <c r="C28" s="327"/>
      <c r="D28" s="140"/>
      <c r="E28" s="196"/>
      <c r="F28" s="31">
        <f>SUM(C28:E28)</f>
        <v>0</v>
      </c>
      <c r="G28" s="31"/>
      <c r="H28" s="31"/>
      <c r="I28" s="139"/>
      <c r="J28" s="31">
        <f>SUM(H28:I28)</f>
        <v>0</v>
      </c>
    </row>
    <row r="29" spans="1:11" ht="15" customHeight="1">
      <c r="A29" s="138">
        <f>'55'!A28</f>
        <v>1</v>
      </c>
      <c r="B29" s="30" t="str">
        <f>'55'!B28</f>
        <v>Dr. St. Imanuddin</v>
      </c>
      <c r="C29" s="258">
        <v>9</v>
      </c>
      <c r="D29" s="139">
        <v>50</v>
      </c>
      <c r="E29" s="31">
        <v>30</v>
      </c>
      <c r="F29" s="31">
        <f aca="true" t="shared" si="4" ref="F29:F45">SUM(C29:E29)</f>
        <v>89</v>
      </c>
      <c r="G29" s="31">
        <v>0</v>
      </c>
      <c r="H29" s="31">
        <v>11</v>
      </c>
      <c r="I29" s="139">
        <v>6</v>
      </c>
      <c r="J29" s="31">
        <f>SUM(G29:I29)</f>
        <v>17</v>
      </c>
      <c r="K29" s="466"/>
    </row>
    <row r="30" spans="1:10" ht="15" customHeight="1">
      <c r="A30" s="138">
        <f>'55'!A29</f>
        <v>2</v>
      </c>
      <c r="B30" s="30" t="str">
        <f>'55'!B29</f>
        <v>Lamandau</v>
      </c>
      <c r="C30" s="258">
        <v>1</v>
      </c>
      <c r="D30" s="139">
        <v>21</v>
      </c>
      <c r="E30" s="31">
        <v>5</v>
      </c>
      <c r="F30" s="31">
        <f t="shared" si="4"/>
        <v>27</v>
      </c>
      <c r="G30" s="31">
        <v>0</v>
      </c>
      <c r="H30" s="31">
        <v>1</v>
      </c>
      <c r="I30" s="139">
        <v>3</v>
      </c>
      <c r="J30" s="31">
        <f aca="true" t="shared" si="5" ref="J30:J36">SUM(G30:I30)</f>
        <v>4</v>
      </c>
    </row>
    <row r="31" spans="1:11" ht="15" customHeight="1">
      <c r="A31" s="138">
        <f>'55'!A30</f>
        <v>3</v>
      </c>
      <c r="B31" s="30" t="str">
        <f>'55'!B30</f>
        <v>Sukamara</v>
      </c>
      <c r="C31" s="258">
        <v>3</v>
      </c>
      <c r="D31" s="139">
        <v>30</v>
      </c>
      <c r="E31" s="31">
        <v>4</v>
      </c>
      <c r="F31" s="31">
        <f t="shared" si="4"/>
        <v>37</v>
      </c>
      <c r="G31" s="31">
        <v>0</v>
      </c>
      <c r="H31" s="31">
        <v>2</v>
      </c>
      <c r="I31" s="139">
        <v>2</v>
      </c>
      <c r="J31" s="31">
        <f t="shared" si="5"/>
        <v>4</v>
      </c>
      <c r="K31" s="466"/>
    </row>
    <row r="32" spans="1:10" ht="15" customHeight="1">
      <c r="A32" s="138">
        <f>'55'!A31</f>
        <v>4</v>
      </c>
      <c r="B32" s="30" t="str">
        <f>'55'!B31</f>
        <v>Dr. Murjani</v>
      </c>
      <c r="C32" s="258">
        <v>3</v>
      </c>
      <c r="D32" s="139">
        <v>66</v>
      </c>
      <c r="E32" s="31">
        <v>34</v>
      </c>
      <c r="F32" s="31">
        <f t="shared" si="4"/>
        <v>103</v>
      </c>
      <c r="G32" s="31">
        <v>0</v>
      </c>
      <c r="H32" s="31">
        <v>9</v>
      </c>
      <c r="I32" s="139">
        <v>5</v>
      </c>
      <c r="J32" s="31">
        <f t="shared" si="5"/>
        <v>14</v>
      </c>
    </row>
    <row r="33" spans="1:11" ht="15" customHeight="1">
      <c r="A33" s="138">
        <f>'55'!A32</f>
        <v>5</v>
      </c>
      <c r="B33" s="30" t="str">
        <f>'55'!B32</f>
        <v>Kuala Pembuang</v>
      </c>
      <c r="C33" s="258">
        <v>3</v>
      </c>
      <c r="D33" s="139">
        <v>24</v>
      </c>
      <c r="E33" s="31">
        <v>9</v>
      </c>
      <c r="F33" s="31">
        <f t="shared" si="4"/>
        <v>36</v>
      </c>
      <c r="G33" s="31">
        <v>0</v>
      </c>
      <c r="H33" s="31">
        <v>3</v>
      </c>
      <c r="I33" s="139">
        <v>4</v>
      </c>
      <c r="J33" s="31">
        <f t="shared" si="5"/>
        <v>7</v>
      </c>
      <c r="K33" s="466"/>
    </row>
    <row r="34" spans="1:11" ht="15" customHeight="1">
      <c r="A34" s="138">
        <f>'55'!A33</f>
        <v>6</v>
      </c>
      <c r="B34" s="30" t="str">
        <f>'55'!B33</f>
        <v>Hanua</v>
      </c>
      <c r="C34" s="258">
        <v>0</v>
      </c>
      <c r="D34" s="139">
        <v>14</v>
      </c>
      <c r="E34" s="31">
        <v>0</v>
      </c>
      <c r="F34" s="31">
        <f>SUM(C34:E34)</f>
        <v>14</v>
      </c>
      <c r="G34" s="31">
        <v>0</v>
      </c>
      <c r="H34" s="31">
        <v>5</v>
      </c>
      <c r="I34" s="139">
        <v>1</v>
      </c>
      <c r="J34" s="31">
        <f t="shared" si="5"/>
        <v>6</v>
      </c>
      <c r="K34" s="466"/>
    </row>
    <row r="35" spans="1:10" ht="15" customHeight="1">
      <c r="A35" s="138">
        <f>'55'!A34</f>
        <v>7</v>
      </c>
      <c r="B35" s="30" t="str">
        <f>'55'!B34</f>
        <v>Kasongan</v>
      </c>
      <c r="C35" s="258">
        <v>1</v>
      </c>
      <c r="D35" s="139">
        <v>52</v>
      </c>
      <c r="E35" s="31">
        <v>15</v>
      </c>
      <c r="F35" s="31">
        <f t="shared" si="4"/>
        <v>68</v>
      </c>
      <c r="G35" s="31">
        <v>0</v>
      </c>
      <c r="H35" s="31">
        <v>14</v>
      </c>
      <c r="I35" s="139">
        <v>5</v>
      </c>
      <c r="J35" s="31">
        <f t="shared" si="5"/>
        <v>19</v>
      </c>
    </row>
    <row r="36" spans="1:10" ht="15" customHeight="1">
      <c r="A36" s="138">
        <f>'55'!A35</f>
        <v>8</v>
      </c>
      <c r="B36" s="30" t="str">
        <f>'55'!B35</f>
        <v>Dr. Soemarno SA</v>
      </c>
      <c r="C36" s="258">
        <v>6</v>
      </c>
      <c r="D36" s="139">
        <v>52</v>
      </c>
      <c r="E36" s="31">
        <v>59</v>
      </c>
      <c r="F36" s="31">
        <f t="shared" si="4"/>
        <v>117</v>
      </c>
      <c r="G36" s="31">
        <v>0</v>
      </c>
      <c r="H36" s="31">
        <v>6</v>
      </c>
      <c r="I36" s="139">
        <v>16</v>
      </c>
      <c r="J36" s="31">
        <f t="shared" si="5"/>
        <v>22</v>
      </c>
    </row>
    <row r="37" spans="1:10" ht="15" customHeight="1">
      <c r="A37" s="138">
        <f>'55'!A36</f>
        <v>9</v>
      </c>
      <c r="B37" s="30" t="str">
        <f>'55'!B36</f>
        <v>Pulang Pisau</v>
      </c>
      <c r="C37" s="230">
        <v>1</v>
      </c>
      <c r="D37" s="139">
        <v>22</v>
      </c>
      <c r="E37" s="139">
        <v>6</v>
      </c>
      <c r="F37" s="139">
        <f t="shared" si="4"/>
        <v>29</v>
      </c>
      <c r="G37" s="139">
        <v>0</v>
      </c>
      <c r="H37" s="139">
        <v>8</v>
      </c>
      <c r="I37" s="139">
        <v>0</v>
      </c>
      <c r="J37" s="139">
        <f aca="true" t="shared" si="6" ref="J37:J45">SUM(G37:I37)</f>
        <v>8</v>
      </c>
    </row>
    <row r="38" spans="1:10" ht="15" customHeight="1">
      <c r="A38" s="138">
        <f>'55'!A37</f>
        <v>10</v>
      </c>
      <c r="B38" s="30" t="str">
        <f>'55'!B37</f>
        <v>Kuala Kurun</v>
      </c>
      <c r="C38" s="230">
        <v>0</v>
      </c>
      <c r="D38" s="139">
        <v>22</v>
      </c>
      <c r="E38" s="139">
        <v>14</v>
      </c>
      <c r="F38" s="139">
        <f t="shared" si="4"/>
        <v>36</v>
      </c>
      <c r="G38" s="139">
        <v>0</v>
      </c>
      <c r="H38" s="139">
        <v>2</v>
      </c>
      <c r="I38" s="139">
        <v>5</v>
      </c>
      <c r="J38" s="139">
        <f t="shared" si="6"/>
        <v>7</v>
      </c>
    </row>
    <row r="39" spans="1:10" ht="15" customHeight="1">
      <c r="A39" s="138">
        <f>'55'!A38</f>
        <v>11</v>
      </c>
      <c r="B39" s="30" t="str">
        <f>'55'!B38</f>
        <v>Buntok</v>
      </c>
      <c r="C39" s="258">
        <v>0</v>
      </c>
      <c r="D39" s="139">
        <v>58</v>
      </c>
      <c r="E39" s="31">
        <v>50</v>
      </c>
      <c r="F39" s="31">
        <f t="shared" si="4"/>
        <v>108</v>
      </c>
      <c r="G39" s="31">
        <v>0</v>
      </c>
      <c r="H39" s="31">
        <v>13</v>
      </c>
      <c r="I39" s="139">
        <v>14</v>
      </c>
      <c r="J39" s="31">
        <f t="shared" si="6"/>
        <v>27</v>
      </c>
    </row>
    <row r="40" spans="1:10" ht="15" customHeight="1">
      <c r="A40" s="138">
        <f>'55'!A39</f>
        <v>12</v>
      </c>
      <c r="B40" s="30" t="str">
        <f>'55'!B39</f>
        <v>Tamiang Layang</v>
      </c>
      <c r="C40" s="258">
        <v>1</v>
      </c>
      <c r="D40" s="139">
        <v>25</v>
      </c>
      <c r="E40" s="31">
        <v>9</v>
      </c>
      <c r="F40" s="31">
        <v>35</v>
      </c>
      <c r="G40" s="31">
        <v>0</v>
      </c>
      <c r="H40" s="31">
        <v>6</v>
      </c>
      <c r="I40" s="139">
        <v>3</v>
      </c>
      <c r="J40" s="31">
        <f t="shared" si="6"/>
        <v>9</v>
      </c>
    </row>
    <row r="41" spans="1:10" ht="15" customHeight="1">
      <c r="A41" s="138">
        <f>'55'!A40</f>
        <v>13</v>
      </c>
      <c r="B41" s="30" t="str">
        <f>'55'!B40</f>
        <v>Muara Teweh</v>
      </c>
      <c r="C41" s="230">
        <v>6</v>
      </c>
      <c r="D41" s="139">
        <v>38</v>
      </c>
      <c r="E41" s="139">
        <v>21</v>
      </c>
      <c r="F41" s="139">
        <f t="shared" si="4"/>
        <v>65</v>
      </c>
      <c r="G41" s="139">
        <v>0</v>
      </c>
      <c r="H41" s="139">
        <v>9</v>
      </c>
      <c r="I41" s="139">
        <v>7</v>
      </c>
      <c r="J41" s="139">
        <f t="shared" si="6"/>
        <v>16</v>
      </c>
    </row>
    <row r="42" spans="1:10" ht="15" customHeight="1">
      <c r="A42" s="138">
        <f>'55'!A41</f>
        <v>14</v>
      </c>
      <c r="B42" s="30" t="str">
        <f>'55'!B41</f>
        <v>Puruk Cahu</v>
      </c>
      <c r="C42" s="258">
        <v>5</v>
      </c>
      <c r="D42" s="139">
        <v>23</v>
      </c>
      <c r="E42" s="31">
        <v>20</v>
      </c>
      <c r="F42" s="31">
        <f t="shared" si="4"/>
        <v>48</v>
      </c>
      <c r="G42" s="31">
        <v>1</v>
      </c>
      <c r="H42" s="31">
        <v>5</v>
      </c>
      <c r="I42" s="139">
        <v>15</v>
      </c>
      <c r="J42" s="31">
        <f t="shared" si="6"/>
        <v>21</v>
      </c>
    </row>
    <row r="43" spans="1:10" ht="15" customHeight="1">
      <c r="A43" s="138">
        <f>'55'!A42</f>
        <v>15</v>
      </c>
      <c r="B43" s="30" t="str">
        <f>'55'!B42</f>
        <v>Dr. Doris Sylvanus</v>
      </c>
      <c r="C43" s="258">
        <v>18</v>
      </c>
      <c r="D43" s="139">
        <v>235</v>
      </c>
      <c r="E43" s="31">
        <v>53</v>
      </c>
      <c r="F43" s="31">
        <f t="shared" si="4"/>
        <v>306</v>
      </c>
      <c r="G43" s="31">
        <v>0</v>
      </c>
      <c r="H43" s="31">
        <v>25</v>
      </c>
      <c r="I43" s="139">
        <v>2</v>
      </c>
      <c r="J43" s="31">
        <f t="shared" si="6"/>
        <v>27</v>
      </c>
    </row>
    <row r="44" spans="1:10" ht="15" customHeight="1">
      <c r="A44" s="138">
        <f>'55'!A43</f>
        <v>16</v>
      </c>
      <c r="B44" s="30" t="str">
        <f>'55'!B43</f>
        <v>RS Bhayangkara</v>
      </c>
      <c r="C44" s="258">
        <v>0</v>
      </c>
      <c r="D44" s="139">
        <v>8</v>
      </c>
      <c r="E44" s="31">
        <v>15</v>
      </c>
      <c r="F44" s="31">
        <f t="shared" si="4"/>
        <v>23</v>
      </c>
      <c r="G44" s="31">
        <v>0</v>
      </c>
      <c r="H44" s="31">
        <v>2</v>
      </c>
      <c r="I44" s="139">
        <v>5</v>
      </c>
      <c r="J44" s="31">
        <f t="shared" si="6"/>
        <v>7</v>
      </c>
    </row>
    <row r="45" spans="1:10" ht="15" customHeight="1">
      <c r="A45" s="138">
        <f>'55'!A44</f>
        <v>17</v>
      </c>
      <c r="B45" s="30" t="str">
        <f>'55'!B44</f>
        <v>RS TNI Denkensyah</v>
      </c>
      <c r="C45" s="258">
        <v>0</v>
      </c>
      <c r="D45" s="139">
        <v>11</v>
      </c>
      <c r="E45" s="31">
        <v>6</v>
      </c>
      <c r="F45" s="31">
        <f t="shared" si="4"/>
        <v>17</v>
      </c>
      <c r="G45" s="31">
        <v>0</v>
      </c>
      <c r="H45" s="31">
        <v>17</v>
      </c>
      <c r="I45" s="139">
        <v>2</v>
      </c>
      <c r="J45" s="31">
        <f t="shared" si="6"/>
        <v>19</v>
      </c>
    </row>
    <row r="46" spans="1:10" ht="15" customHeight="1">
      <c r="A46" s="138"/>
      <c r="B46" s="30"/>
      <c r="C46" s="258"/>
      <c r="D46" s="139"/>
      <c r="E46" s="31"/>
      <c r="F46" s="31">
        <f>SUM(C46:E46)</f>
        <v>0</v>
      </c>
      <c r="G46" s="31"/>
      <c r="H46" s="31"/>
      <c r="I46" s="139"/>
      <c r="J46" s="31">
        <f>SUM(H46:I46)</f>
        <v>0</v>
      </c>
    </row>
    <row r="47" spans="1:11" ht="19.5" customHeight="1">
      <c r="A47" s="142" t="s">
        <v>63</v>
      </c>
      <c r="B47" s="178"/>
      <c r="C47" s="327">
        <f aca="true" t="shared" si="7" ref="C47:J47">SUM(C28:C46)</f>
        <v>57</v>
      </c>
      <c r="D47" s="327">
        <f t="shared" si="7"/>
        <v>751</v>
      </c>
      <c r="E47" s="327">
        <f t="shared" si="7"/>
        <v>350</v>
      </c>
      <c r="F47" s="327">
        <f t="shared" si="7"/>
        <v>1158</v>
      </c>
      <c r="G47" s="327">
        <f t="shared" si="7"/>
        <v>1</v>
      </c>
      <c r="H47" s="327">
        <f t="shared" si="7"/>
        <v>138</v>
      </c>
      <c r="I47" s="327">
        <f t="shared" si="7"/>
        <v>95</v>
      </c>
      <c r="J47" s="327">
        <f t="shared" si="7"/>
        <v>234</v>
      </c>
      <c r="K47" s="466"/>
    </row>
    <row r="48" spans="1:10" ht="19.5" customHeight="1">
      <c r="A48" s="528" t="s">
        <v>64</v>
      </c>
      <c r="B48" s="178"/>
      <c r="C48" s="327">
        <f aca="true" t="shared" si="8" ref="C48:J48">SUM(C49:C52)</f>
        <v>26</v>
      </c>
      <c r="D48" s="327">
        <f t="shared" si="8"/>
        <v>9</v>
      </c>
      <c r="E48" s="327">
        <f t="shared" si="8"/>
        <v>0</v>
      </c>
      <c r="F48" s="327">
        <f t="shared" si="8"/>
        <v>35</v>
      </c>
      <c r="G48" s="327">
        <f t="shared" si="8"/>
        <v>9</v>
      </c>
      <c r="H48" s="327">
        <f t="shared" si="8"/>
        <v>1</v>
      </c>
      <c r="I48" s="327">
        <f t="shared" si="8"/>
        <v>0</v>
      </c>
      <c r="J48" s="109">
        <f t="shared" si="8"/>
        <v>10</v>
      </c>
    </row>
    <row r="49" spans="1:10" ht="14.25" customHeight="1">
      <c r="A49" s="528">
        <f>'55'!A48</f>
        <v>1</v>
      </c>
      <c r="B49" s="178" t="str">
        <f>'55'!B48</f>
        <v>Akper Kapuas</v>
      </c>
      <c r="C49" s="327">
        <v>9</v>
      </c>
      <c r="D49" s="140">
        <v>0</v>
      </c>
      <c r="E49" s="196">
        <v>0</v>
      </c>
      <c r="F49" s="196">
        <f>SUM(C49:E49)</f>
        <v>9</v>
      </c>
      <c r="G49" s="196">
        <v>0</v>
      </c>
      <c r="H49" s="196">
        <v>0</v>
      </c>
      <c r="I49" s="140">
        <v>0</v>
      </c>
      <c r="J49" s="31">
        <f>SUM(G49:I49)</f>
        <v>0</v>
      </c>
    </row>
    <row r="50" spans="1:10" ht="14.25" customHeight="1">
      <c r="A50" s="183">
        <f>'55'!A49</f>
        <v>2</v>
      </c>
      <c r="B50" s="30" t="str">
        <f>'55'!B49</f>
        <v>Akper Sampit</v>
      </c>
      <c r="C50" s="230">
        <v>3</v>
      </c>
      <c r="D50" s="139">
        <v>1</v>
      </c>
      <c r="E50" s="139"/>
      <c r="F50" s="139">
        <f>SUM(C50:E50)</f>
        <v>4</v>
      </c>
      <c r="G50" s="139">
        <v>0</v>
      </c>
      <c r="H50" s="139">
        <v>1</v>
      </c>
      <c r="I50" s="139"/>
      <c r="J50" s="139">
        <f>SUM(G50:I50)</f>
        <v>1</v>
      </c>
    </row>
    <row r="51" spans="1:10" ht="14.25" customHeight="1">
      <c r="A51" s="183">
        <f>'55'!A50</f>
        <v>3</v>
      </c>
      <c r="B51" s="30" t="str">
        <f>'55'!B50</f>
        <v>Poltekes *)</v>
      </c>
      <c r="C51" s="258">
        <v>14</v>
      </c>
      <c r="D51" s="139">
        <v>8</v>
      </c>
      <c r="E51" s="31"/>
      <c r="F51" s="31">
        <f>SUM(C51:E51)</f>
        <v>22</v>
      </c>
      <c r="G51" s="31">
        <v>9</v>
      </c>
      <c r="H51" s="31">
        <v>0</v>
      </c>
      <c r="I51" s="139"/>
      <c r="J51" s="31">
        <f>SUM(G51:I51)</f>
        <v>9</v>
      </c>
    </row>
    <row r="52" spans="1:10" ht="14.25" customHeight="1">
      <c r="A52" s="183">
        <f>'55'!A51</f>
        <v>4</v>
      </c>
      <c r="B52" s="30" t="str">
        <f>'55'!B51</f>
        <v>Bapelkes Palangka Raya</v>
      </c>
      <c r="C52" s="258">
        <v>0</v>
      </c>
      <c r="D52" s="139">
        <v>0</v>
      </c>
      <c r="E52" s="31">
        <v>0</v>
      </c>
      <c r="F52" s="31">
        <f>SUM(C52:E52)</f>
        <v>0</v>
      </c>
      <c r="G52" s="31">
        <v>0</v>
      </c>
      <c r="H52" s="31">
        <v>0</v>
      </c>
      <c r="I52" s="139">
        <v>0</v>
      </c>
      <c r="J52" s="31">
        <f>SUM(G52:I52)</f>
        <v>0</v>
      </c>
    </row>
    <row r="53" spans="1:10" ht="14.25" customHeight="1">
      <c r="A53" s="232"/>
      <c r="B53" s="35"/>
      <c r="C53" s="324"/>
      <c r="D53" s="164"/>
      <c r="E53" s="36"/>
      <c r="F53" s="36"/>
      <c r="G53" s="36"/>
      <c r="H53" s="36"/>
      <c r="I53" s="164"/>
      <c r="J53" s="36"/>
    </row>
    <row r="54" spans="1:10" ht="19.5" customHeight="1">
      <c r="A54" s="528" t="s">
        <v>65</v>
      </c>
      <c r="B54" s="178"/>
      <c r="C54" s="327">
        <f aca="true" t="shared" si="9" ref="C54:J54">SUM(C55:C62)</f>
        <v>4</v>
      </c>
      <c r="D54" s="327">
        <f t="shared" si="9"/>
        <v>10</v>
      </c>
      <c r="E54" s="327">
        <f t="shared" si="9"/>
        <v>9</v>
      </c>
      <c r="F54" s="327">
        <f t="shared" si="9"/>
        <v>23</v>
      </c>
      <c r="G54" s="327">
        <f t="shared" si="9"/>
        <v>0</v>
      </c>
      <c r="H54" s="327">
        <f t="shared" si="9"/>
        <v>1</v>
      </c>
      <c r="I54" s="327">
        <f t="shared" si="9"/>
        <v>0</v>
      </c>
      <c r="J54" s="109">
        <f t="shared" si="9"/>
        <v>1</v>
      </c>
    </row>
    <row r="55" spans="1:10" ht="14.25" customHeight="1">
      <c r="A55" s="528">
        <f>'55'!A54</f>
        <v>1</v>
      </c>
      <c r="B55" s="178" t="str">
        <f>'55'!B54</f>
        <v>KKP Sampit</v>
      </c>
      <c r="C55" s="327">
        <v>3</v>
      </c>
      <c r="D55" s="140">
        <v>1</v>
      </c>
      <c r="E55" s="196">
        <v>0</v>
      </c>
      <c r="F55" s="196">
        <f aca="true" t="shared" si="10" ref="F55:F61">SUM(C55:E55)</f>
        <v>4</v>
      </c>
      <c r="G55" s="196">
        <v>0</v>
      </c>
      <c r="H55" s="196">
        <v>1</v>
      </c>
      <c r="I55" s="140">
        <v>0</v>
      </c>
      <c r="J55" s="31">
        <f aca="true" t="shared" si="11" ref="J55:J61">SUM(G55:I55)</f>
        <v>1</v>
      </c>
    </row>
    <row r="56" spans="1:10" ht="14.25" customHeight="1">
      <c r="A56" s="183">
        <f>'55'!A55</f>
        <v>2</v>
      </c>
      <c r="B56" s="30" t="str">
        <f>'55'!B55</f>
        <v>KKP Pulang Pisau</v>
      </c>
      <c r="C56" s="258">
        <v>0</v>
      </c>
      <c r="D56" s="139">
        <v>0</v>
      </c>
      <c r="E56" s="31">
        <v>0</v>
      </c>
      <c r="F56" s="31">
        <f t="shared" si="10"/>
        <v>0</v>
      </c>
      <c r="G56" s="31">
        <v>0</v>
      </c>
      <c r="H56" s="31">
        <v>0</v>
      </c>
      <c r="I56" s="139">
        <v>0</v>
      </c>
      <c r="J56" s="31">
        <f t="shared" si="11"/>
        <v>0</v>
      </c>
    </row>
    <row r="57" spans="1:10" ht="14.25" customHeight="1">
      <c r="A57" s="138">
        <f>'55'!A56</f>
        <v>3</v>
      </c>
      <c r="B57" s="30" t="str">
        <f>'55'!B56</f>
        <v>Labkesda/GFK Kuala Kapuas</v>
      </c>
      <c r="C57" s="258">
        <v>0</v>
      </c>
      <c r="D57" s="139">
        <v>0</v>
      </c>
      <c r="E57" s="31">
        <v>2</v>
      </c>
      <c r="F57" s="31">
        <f t="shared" si="10"/>
        <v>2</v>
      </c>
      <c r="G57" s="31">
        <v>0</v>
      </c>
      <c r="H57" s="31">
        <v>0</v>
      </c>
      <c r="I57" s="139">
        <v>0</v>
      </c>
      <c r="J57" s="31">
        <f t="shared" si="11"/>
        <v>0</v>
      </c>
    </row>
    <row r="58" spans="1:10" ht="14.25" customHeight="1">
      <c r="A58" s="138">
        <f>'55'!A57</f>
        <v>4</v>
      </c>
      <c r="B58" s="138" t="str">
        <f>'55'!B57</f>
        <v>Labkesda &amp; GFK Pangkalan Bun</v>
      </c>
      <c r="C58" s="258">
        <v>0</v>
      </c>
      <c r="D58" s="139">
        <v>0</v>
      </c>
      <c r="E58" s="31">
        <v>0</v>
      </c>
      <c r="F58" s="31">
        <f t="shared" si="10"/>
        <v>0</v>
      </c>
      <c r="G58" s="31">
        <v>0</v>
      </c>
      <c r="H58" s="31">
        <v>0</v>
      </c>
      <c r="I58" s="139">
        <v>0</v>
      </c>
      <c r="J58" s="31">
        <f t="shared" si="11"/>
        <v>0</v>
      </c>
    </row>
    <row r="59" spans="1:10" ht="14.25" customHeight="1">
      <c r="A59" s="183">
        <f>'55'!A58</f>
        <v>5</v>
      </c>
      <c r="B59" s="30" t="str">
        <f>'55'!B58</f>
        <v>Balai Keswamas Palangka Raya</v>
      </c>
      <c r="C59" s="258">
        <v>1</v>
      </c>
      <c r="D59" s="139">
        <v>6</v>
      </c>
      <c r="E59" s="31">
        <v>3</v>
      </c>
      <c r="F59" s="31">
        <f t="shared" si="10"/>
        <v>10</v>
      </c>
      <c r="G59" s="31">
        <v>0</v>
      </c>
      <c r="H59" s="31">
        <v>0</v>
      </c>
      <c r="I59" s="139">
        <v>0</v>
      </c>
      <c r="J59" s="31">
        <f t="shared" si="11"/>
        <v>0</v>
      </c>
    </row>
    <row r="60" spans="1:10" ht="14.25" customHeight="1">
      <c r="A60" s="183">
        <f>'55'!A59</f>
        <v>6</v>
      </c>
      <c r="B60" s="30" t="str">
        <f>'55'!B59</f>
        <v>Balai Labkes Palangka Raya</v>
      </c>
      <c r="C60" s="258">
        <v>0</v>
      </c>
      <c r="D60" s="139">
        <v>2</v>
      </c>
      <c r="E60" s="31">
        <v>4</v>
      </c>
      <c r="F60" s="31">
        <f t="shared" si="10"/>
        <v>6</v>
      </c>
      <c r="G60" s="31">
        <v>0</v>
      </c>
      <c r="H60" s="31">
        <v>0</v>
      </c>
      <c r="I60" s="139">
        <v>0</v>
      </c>
      <c r="J60" s="31">
        <f t="shared" si="11"/>
        <v>0</v>
      </c>
    </row>
    <row r="61" spans="1:10" ht="14.25" customHeight="1">
      <c r="A61" s="183">
        <f>'55'!A60</f>
        <v>7</v>
      </c>
      <c r="B61" s="30" t="str">
        <f>'55'!B60</f>
        <v>Badan POM Palangka Raya *)</v>
      </c>
      <c r="C61" s="258">
        <v>0</v>
      </c>
      <c r="D61" s="139">
        <v>0</v>
      </c>
      <c r="E61" s="31">
        <v>0</v>
      </c>
      <c r="F61" s="31">
        <f t="shared" si="10"/>
        <v>0</v>
      </c>
      <c r="G61" s="31">
        <v>0</v>
      </c>
      <c r="H61" s="31">
        <v>0</v>
      </c>
      <c r="I61" s="139">
        <v>0</v>
      </c>
      <c r="J61" s="31">
        <f t="shared" si="11"/>
        <v>0</v>
      </c>
    </row>
    <row r="62" spans="1:10" ht="14.25" customHeight="1">
      <c r="A62" s="138">
        <v>8</v>
      </c>
      <c r="B62" s="30" t="s">
        <v>590</v>
      </c>
      <c r="C62" s="258">
        <v>0</v>
      </c>
      <c r="D62" s="139">
        <v>1</v>
      </c>
      <c r="E62" s="31">
        <v>0</v>
      </c>
      <c r="F62" s="31">
        <f>SUM(C62:E62)</f>
        <v>1</v>
      </c>
      <c r="G62" s="31">
        <v>0</v>
      </c>
      <c r="H62" s="31">
        <v>0</v>
      </c>
      <c r="I62" s="139">
        <v>0</v>
      </c>
      <c r="J62" s="31">
        <f>SUM(G62:I62)</f>
        <v>0</v>
      </c>
    </row>
    <row r="63" spans="1:10" ht="14.25" customHeight="1">
      <c r="A63" s="232"/>
      <c r="B63" s="35"/>
      <c r="C63" s="324"/>
      <c r="D63" s="164"/>
      <c r="E63" s="36"/>
      <c r="F63" s="36"/>
      <c r="G63" s="36"/>
      <c r="H63" s="36"/>
      <c r="I63" s="164"/>
      <c r="J63" s="36"/>
    </row>
    <row r="64" spans="1:10" ht="19.5" customHeight="1">
      <c r="A64" s="144" t="s">
        <v>66</v>
      </c>
      <c r="B64" s="108"/>
      <c r="C64" s="331">
        <f>SUM(C65:C79)</f>
        <v>9</v>
      </c>
      <c r="D64" s="331">
        <f aca="true" t="shared" si="12" ref="D64:J64">SUM(D65:D79)</f>
        <v>42</v>
      </c>
      <c r="E64" s="331">
        <f t="shared" si="12"/>
        <v>62</v>
      </c>
      <c r="F64" s="331">
        <f t="shared" si="12"/>
        <v>113</v>
      </c>
      <c r="G64" s="331">
        <f t="shared" si="12"/>
        <v>0</v>
      </c>
      <c r="H64" s="331">
        <f t="shared" si="12"/>
        <v>16</v>
      </c>
      <c r="I64" s="331">
        <f t="shared" si="12"/>
        <v>19</v>
      </c>
      <c r="J64" s="331">
        <f t="shared" si="12"/>
        <v>35</v>
      </c>
    </row>
    <row r="65" spans="1:10" ht="14.25" customHeight="1">
      <c r="A65" s="528">
        <f>'55'!A64</f>
        <v>1</v>
      </c>
      <c r="B65" s="178" t="str">
        <f>'55'!B64</f>
        <v>Kotawaringin Barat</v>
      </c>
      <c r="C65" s="465">
        <v>0</v>
      </c>
      <c r="D65" s="465">
        <v>2</v>
      </c>
      <c r="E65" s="465">
        <v>8</v>
      </c>
      <c r="F65" s="139">
        <f aca="true" t="shared" si="13" ref="F65:F79">SUM(C65:E65)</f>
        <v>10</v>
      </c>
      <c r="G65" s="230">
        <v>0</v>
      </c>
      <c r="H65" s="465">
        <v>2</v>
      </c>
      <c r="I65" s="465">
        <v>1</v>
      </c>
      <c r="J65" s="31">
        <f aca="true" t="shared" si="14" ref="J65:J79">SUM(G65:I65)</f>
        <v>3</v>
      </c>
    </row>
    <row r="66" spans="1:10" ht="14.25" customHeight="1">
      <c r="A66" s="183">
        <f>'55'!A65</f>
        <v>2</v>
      </c>
      <c r="B66" s="30" t="str">
        <f>'55'!B65</f>
        <v>Lamandau</v>
      </c>
      <c r="C66" s="258">
        <v>2</v>
      </c>
      <c r="D66" s="230">
        <v>5</v>
      </c>
      <c r="E66" s="258">
        <v>9</v>
      </c>
      <c r="F66" s="31">
        <f t="shared" si="13"/>
        <v>16</v>
      </c>
      <c r="G66" s="258">
        <v>0</v>
      </c>
      <c r="H66" s="258">
        <v>1</v>
      </c>
      <c r="I66" s="230">
        <v>4</v>
      </c>
      <c r="J66" s="31">
        <f t="shared" si="14"/>
        <v>5</v>
      </c>
    </row>
    <row r="67" spans="1:11" ht="14.25" customHeight="1">
      <c r="A67" s="183">
        <f>'55'!A66</f>
        <v>3</v>
      </c>
      <c r="B67" s="138" t="str">
        <f>'55'!B66</f>
        <v>Sukamara</v>
      </c>
      <c r="C67" s="230">
        <v>0</v>
      </c>
      <c r="D67" s="230">
        <v>9</v>
      </c>
      <c r="E67" s="230">
        <v>0</v>
      </c>
      <c r="F67" s="139">
        <f t="shared" si="13"/>
        <v>9</v>
      </c>
      <c r="G67" s="230"/>
      <c r="H67" s="230">
        <v>0</v>
      </c>
      <c r="I67" s="230">
        <v>1</v>
      </c>
      <c r="J67" s="31">
        <f t="shared" si="14"/>
        <v>1</v>
      </c>
      <c r="K67" s="466"/>
    </row>
    <row r="68" spans="1:10" ht="14.25" customHeight="1">
      <c r="A68" s="183">
        <f>'55'!A67</f>
        <v>4</v>
      </c>
      <c r="B68" s="30" t="str">
        <f>'55'!B67</f>
        <v>Kotawaringin Timur</v>
      </c>
      <c r="C68" s="230">
        <v>0</v>
      </c>
      <c r="D68" s="230">
        <v>4</v>
      </c>
      <c r="E68" s="230">
        <v>2</v>
      </c>
      <c r="F68" s="139">
        <f t="shared" si="13"/>
        <v>6</v>
      </c>
      <c r="G68" s="230">
        <v>0</v>
      </c>
      <c r="H68" s="230">
        <v>3</v>
      </c>
      <c r="I68" s="230">
        <v>0</v>
      </c>
      <c r="J68" s="139">
        <f t="shared" si="14"/>
        <v>3</v>
      </c>
    </row>
    <row r="69" spans="1:10" ht="14.25" customHeight="1">
      <c r="A69" s="183">
        <f>'55'!A68</f>
        <v>5</v>
      </c>
      <c r="B69" s="30" t="str">
        <f>'55'!B68</f>
        <v>Seruyan</v>
      </c>
      <c r="C69" s="258">
        <v>1</v>
      </c>
      <c r="D69" s="230">
        <v>7</v>
      </c>
      <c r="E69" s="258">
        <v>7</v>
      </c>
      <c r="F69" s="31">
        <f t="shared" si="13"/>
        <v>15</v>
      </c>
      <c r="G69" s="258">
        <v>0</v>
      </c>
      <c r="H69" s="258">
        <v>4</v>
      </c>
      <c r="I69" s="230">
        <v>1</v>
      </c>
      <c r="J69" s="31">
        <f t="shared" si="14"/>
        <v>5</v>
      </c>
    </row>
    <row r="70" spans="1:10" ht="14.25" customHeight="1">
      <c r="A70" s="183">
        <f>'55'!A69</f>
        <v>6</v>
      </c>
      <c r="B70" s="30" t="str">
        <f>'55'!B69</f>
        <v>Katingan</v>
      </c>
      <c r="C70" s="258">
        <v>1</v>
      </c>
      <c r="D70" s="230">
        <v>2</v>
      </c>
      <c r="E70" s="258">
        <v>7</v>
      </c>
      <c r="F70" s="31">
        <f t="shared" si="13"/>
        <v>10</v>
      </c>
      <c r="G70" s="258">
        <v>0</v>
      </c>
      <c r="H70" s="258">
        <v>0</v>
      </c>
      <c r="I70" s="230">
        <v>1</v>
      </c>
      <c r="J70" s="31">
        <f t="shared" si="14"/>
        <v>1</v>
      </c>
    </row>
    <row r="71" spans="1:10" ht="14.25" customHeight="1">
      <c r="A71" s="183">
        <f>'55'!A70</f>
        <v>7</v>
      </c>
      <c r="B71" s="30" t="str">
        <f>'55'!B70</f>
        <v>Kapuas</v>
      </c>
      <c r="C71" s="258">
        <v>1</v>
      </c>
      <c r="D71" s="230">
        <v>0</v>
      </c>
      <c r="E71" s="258">
        <v>1</v>
      </c>
      <c r="F71" s="31">
        <f t="shared" si="13"/>
        <v>2</v>
      </c>
      <c r="G71" s="258">
        <v>0</v>
      </c>
      <c r="H71" s="258">
        <v>0</v>
      </c>
      <c r="I71" s="230">
        <v>2</v>
      </c>
      <c r="J71" s="31">
        <f t="shared" si="14"/>
        <v>2</v>
      </c>
    </row>
    <row r="72" spans="1:10" ht="14.25" customHeight="1">
      <c r="A72" s="183">
        <f>'55'!A71</f>
        <v>8</v>
      </c>
      <c r="B72" s="30" t="str">
        <f>'55'!B71</f>
        <v>Pulang Pisau</v>
      </c>
      <c r="C72" s="230">
        <v>0</v>
      </c>
      <c r="D72" s="230">
        <v>1</v>
      </c>
      <c r="E72" s="230">
        <v>0</v>
      </c>
      <c r="F72" s="139">
        <f t="shared" si="13"/>
        <v>1</v>
      </c>
      <c r="G72" s="230">
        <v>0</v>
      </c>
      <c r="H72" s="230">
        <v>0</v>
      </c>
      <c r="I72" s="230">
        <v>0</v>
      </c>
      <c r="J72" s="139">
        <f t="shared" si="14"/>
        <v>0</v>
      </c>
    </row>
    <row r="73" spans="1:10" ht="14.25" customHeight="1">
      <c r="A73" s="183">
        <f>'55'!A72</f>
        <v>9</v>
      </c>
      <c r="B73" s="30" t="str">
        <f>'55'!B72</f>
        <v>Gunung Mas</v>
      </c>
      <c r="C73" s="230">
        <v>1</v>
      </c>
      <c r="D73" s="230">
        <v>2</v>
      </c>
      <c r="E73" s="230">
        <v>3</v>
      </c>
      <c r="F73" s="139">
        <f t="shared" si="13"/>
        <v>6</v>
      </c>
      <c r="G73" s="230"/>
      <c r="H73" s="230">
        <v>1</v>
      </c>
      <c r="I73" s="230">
        <v>1</v>
      </c>
      <c r="J73" s="139">
        <f t="shared" si="14"/>
        <v>2</v>
      </c>
    </row>
    <row r="74" spans="1:10" ht="14.25" customHeight="1">
      <c r="A74" s="183">
        <f>'55'!A73</f>
        <v>10</v>
      </c>
      <c r="B74" s="30" t="str">
        <f>'55'!B73</f>
        <v>Barito Selatan</v>
      </c>
      <c r="C74" s="258">
        <v>1</v>
      </c>
      <c r="D74" s="230">
        <v>2</v>
      </c>
      <c r="E74" s="258">
        <v>4</v>
      </c>
      <c r="F74" s="31">
        <f t="shared" si="13"/>
        <v>7</v>
      </c>
      <c r="G74" s="258">
        <v>0</v>
      </c>
      <c r="H74" s="258">
        <v>2</v>
      </c>
      <c r="I74" s="230">
        <v>3</v>
      </c>
      <c r="J74" s="31">
        <f t="shared" si="14"/>
        <v>5</v>
      </c>
    </row>
    <row r="75" spans="1:10" ht="14.25" customHeight="1">
      <c r="A75" s="183">
        <f>'55'!A74</f>
        <v>11</v>
      </c>
      <c r="B75" s="30" t="str">
        <f>'55'!B74</f>
        <v>Barito Timur</v>
      </c>
      <c r="C75" s="230">
        <v>0</v>
      </c>
      <c r="D75" s="230">
        <v>0</v>
      </c>
      <c r="E75" s="230">
        <v>2</v>
      </c>
      <c r="F75" s="139">
        <f t="shared" si="13"/>
        <v>2</v>
      </c>
      <c r="G75" s="230">
        <v>0</v>
      </c>
      <c r="H75" s="230">
        <v>0</v>
      </c>
      <c r="I75" s="230">
        <v>2</v>
      </c>
      <c r="J75" s="31">
        <f t="shared" si="14"/>
        <v>2</v>
      </c>
    </row>
    <row r="76" spans="1:10" ht="14.25" customHeight="1">
      <c r="A76" s="183">
        <f>'55'!A75</f>
        <v>12</v>
      </c>
      <c r="B76" s="30" t="str">
        <f>'55'!B75</f>
        <v>Barito Utara</v>
      </c>
      <c r="C76" s="230">
        <v>0</v>
      </c>
      <c r="D76" s="230">
        <v>0</v>
      </c>
      <c r="E76" s="230">
        <v>5</v>
      </c>
      <c r="F76" s="139">
        <f t="shared" si="13"/>
        <v>5</v>
      </c>
      <c r="G76" s="230">
        <v>0</v>
      </c>
      <c r="H76" s="230">
        <v>0</v>
      </c>
      <c r="I76" s="230">
        <v>1</v>
      </c>
      <c r="J76" s="139">
        <f t="shared" si="14"/>
        <v>1</v>
      </c>
    </row>
    <row r="77" spans="1:10" ht="14.25" customHeight="1">
      <c r="A77" s="183">
        <f>'55'!A76</f>
        <v>13</v>
      </c>
      <c r="B77" s="30" t="str">
        <f>'55'!B76</f>
        <v>Murung Raya</v>
      </c>
      <c r="C77" s="258">
        <v>0</v>
      </c>
      <c r="D77" s="230">
        <v>0</v>
      </c>
      <c r="E77" s="258">
        <v>3</v>
      </c>
      <c r="F77" s="31">
        <f t="shared" si="13"/>
        <v>3</v>
      </c>
      <c r="G77" s="258">
        <v>0</v>
      </c>
      <c r="H77" s="258">
        <v>1</v>
      </c>
      <c r="I77" s="230">
        <v>1</v>
      </c>
      <c r="J77" s="31">
        <f t="shared" si="14"/>
        <v>2</v>
      </c>
    </row>
    <row r="78" spans="1:10" ht="14.25" customHeight="1">
      <c r="A78" s="183">
        <f>'55'!A77</f>
        <v>14</v>
      </c>
      <c r="B78" s="30" t="str">
        <f>'55'!B77</f>
        <v>Palangka Raya</v>
      </c>
      <c r="C78" s="258">
        <v>0</v>
      </c>
      <c r="D78" s="230">
        <v>1</v>
      </c>
      <c r="E78" s="258">
        <v>4</v>
      </c>
      <c r="F78" s="31">
        <f t="shared" si="13"/>
        <v>5</v>
      </c>
      <c r="G78" s="258">
        <v>0</v>
      </c>
      <c r="H78" s="258">
        <v>1</v>
      </c>
      <c r="I78" s="230">
        <v>1</v>
      </c>
      <c r="J78" s="31">
        <f t="shared" si="14"/>
        <v>2</v>
      </c>
    </row>
    <row r="79" spans="1:10" ht="14.25" customHeight="1">
      <c r="A79" s="183">
        <f>'55'!A78</f>
        <v>15</v>
      </c>
      <c r="B79" s="30" t="str">
        <f>'55'!B78</f>
        <v>Provinsi Kalimantan Tengah</v>
      </c>
      <c r="C79" s="258">
        <v>2</v>
      </c>
      <c r="D79" s="230">
        <v>7</v>
      </c>
      <c r="E79" s="258">
        <v>7</v>
      </c>
      <c r="F79" s="31">
        <f t="shared" si="13"/>
        <v>16</v>
      </c>
      <c r="G79" s="258">
        <v>0</v>
      </c>
      <c r="H79" s="258">
        <v>1</v>
      </c>
      <c r="I79" s="230">
        <v>0</v>
      </c>
      <c r="J79" s="31">
        <f t="shared" si="14"/>
        <v>1</v>
      </c>
    </row>
    <row r="80" spans="1:10" ht="14.25" customHeight="1">
      <c r="A80" s="232"/>
      <c r="B80" s="35"/>
      <c r="C80" s="324"/>
      <c r="D80" s="233"/>
      <c r="E80" s="324"/>
      <c r="F80" s="324"/>
      <c r="G80" s="324"/>
      <c r="H80" s="324"/>
      <c r="I80" s="233"/>
      <c r="J80" s="324"/>
    </row>
    <row r="81" spans="1:10" ht="19.5" customHeight="1" thickBot="1">
      <c r="A81" s="165" t="s">
        <v>859</v>
      </c>
      <c r="B81" s="108"/>
      <c r="C81" s="331">
        <f aca="true" t="shared" si="15" ref="C81:J81">C27+C47+C48+C54+C64</f>
        <v>115</v>
      </c>
      <c r="D81" s="331">
        <f t="shared" si="15"/>
        <v>1663</v>
      </c>
      <c r="E81" s="331">
        <f t="shared" si="15"/>
        <v>1421</v>
      </c>
      <c r="F81" s="331">
        <f t="shared" si="15"/>
        <v>3199</v>
      </c>
      <c r="G81" s="331">
        <f t="shared" si="15"/>
        <v>10</v>
      </c>
      <c r="H81" s="331">
        <f t="shared" si="15"/>
        <v>443</v>
      </c>
      <c r="I81" s="331">
        <f t="shared" si="15"/>
        <v>1037</v>
      </c>
      <c r="J81" s="331">
        <f t="shared" si="15"/>
        <v>1495</v>
      </c>
    </row>
    <row r="82" spans="1:10" ht="19.5" customHeight="1" thickBot="1">
      <c r="A82" s="243" t="s">
        <v>94</v>
      </c>
      <c r="B82" s="39"/>
      <c r="C82" s="339"/>
      <c r="D82" s="333"/>
      <c r="E82" s="333"/>
      <c r="F82" s="332">
        <f>F81/1!G27*100000</f>
        <v>146.4966286083782</v>
      </c>
      <c r="G82" s="332">
        <f>G81/1!H27*100000</f>
        <v>1.7282559477928445</v>
      </c>
      <c r="H82" s="333"/>
      <c r="I82" s="333"/>
      <c r="J82" s="332">
        <f>J81/1!G27*100000</f>
        <v>68.46278829932022</v>
      </c>
    </row>
    <row r="83" spans="1:13" ht="15">
      <c r="A83" s="133" t="s">
        <v>957</v>
      </c>
      <c r="C83" s="17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ht="15">
      <c r="B84" s="14" t="s">
        <v>958</v>
      </c>
    </row>
    <row r="85" ht="15">
      <c r="B85" s="14" t="s">
        <v>961</v>
      </c>
    </row>
    <row r="86" ht="15">
      <c r="B86" s="14" t="s">
        <v>960</v>
      </c>
    </row>
    <row r="87" ht="15">
      <c r="B87" s="14" t="s">
        <v>959</v>
      </c>
    </row>
    <row r="88" ht="15">
      <c r="A88" s="133" t="s">
        <v>14</v>
      </c>
    </row>
    <row r="89" ht="15">
      <c r="B89" s="14" t="s">
        <v>950</v>
      </c>
    </row>
  </sheetData>
  <mergeCells count="5">
    <mergeCell ref="A3:J3"/>
    <mergeCell ref="A4:J4"/>
    <mergeCell ref="A5:J5"/>
    <mergeCell ref="A7:A9"/>
    <mergeCell ref="B7:B9"/>
  </mergeCells>
  <printOptions horizontalCentered="1"/>
  <pageMargins left="0.1968503937007874" right="0.6692913385826772" top="0.7874015748031497" bottom="0.7874015748031497" header="0" footer="0.7874015748031497"/>
  <pageSetup horizontalDpi="300" verticalDpi="300" orientation="portrait" paperSize="9" scale="54" r:id="rId1"/>
  <headerFooter alignWithMargins="0">
    <oddFooter>&amp;C114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38"/>
  <dimension ref="A1:J88"/>
  <sheetViews>
    <sheetView view="pageBreakPreview" zoomScale="60" zoomScaleNormal="75" workbookViewId="0" topLeftCell="A46">
      <selection activeCell="D98" sqref="D98"/>
    </sheetView>
  </sheetViews>
  <sheetFormatPr defaultColWidth="9.140625" defaultRowHeight="12.75"/>
  <cols>
    <col min="1" max="1" width="5.7109375" style="133" customWidth="1"/>
    <col min="2" max="2" width="35.7109375" style="14" customWidth="1"/>
    <col min="3" max="3" width="20.7109375" style="14" customWidth="1"/>
    <col min="4" max="8" width="18.7109375" style="14" customWidth="1"/>
    <col min="9" max="16384" width="9.140625" style="14" customWidth="1"/>
  </cols>
  <sheetData>
    <row r="1" ht="15">
      <c r="A1" s="132" t="s">
        <v>418</v>
      </c>
    </row>
    <row r="3" spans="1:8" ht="15">
      <c r="A3" s="654" t="s">
        <v>115</v>
      </c>
      <c r="B3" s="654"/>
      <c r="C3" s="654"/>
      <c r="D3" s="654"/>
      <c r="E3" s="654"/>
      <c r="F3" s="654"/>
      <c r="G3" s="654"/>
      <c r="H3" s="654"/>
    </row>
    <row r="4" spans="1:8" ht="15">
      <c r="A4" s="641" t="str">
        <f>1!A5</f>
        <v>PROVINSI KALIMANTAN TENGAH</v>
      </c>
      <c r="B4" s="641"/>
      <c r="C4" s="641"/>
      <c r="D4" s="641"/>
      <c r="E4" s="641"/>
      <c r="F4" s="641"/>
      <c r="G4" s="641"/>
      <c r="H4" s="641"/>
    </row>
    <row r="5" spans="1:8" ht="15">
      <c r="A5" s="641" t="str">
        <f>1!A6</f>
        <v>TAHUN 2009</v>
      </c>
      <c r="B5" s="641"/>
      <c r="C5" s="641"/>
      <c r="D5" s="641"/>
      <c r="E5" s="641"/>
      <c r="F5" s="641"/>
      <c r="G5" s="641"/>
      <c r="H5" s="641"/>
    </row>
    <row r="6" spans="1:8" ht="15.75" thickBot="1">
      <c r="A6" s="114"/>
      <c r="B6" s="9"/>
      <c r="C6" s="9"/>
      <c r="D6" s="9"/>
      <c r="E6" s="9"/>
      <c r="F6" s="9"/>
      <c r="G6" s="9"/>
      <c r="H6" s="9"/>
    </row>
    <row r="7" spans="1:8" ht="18" customHeight="1">
      <c r="A7" s="637" t="s">
        <v>2</v>
      </c>
      <c r="B7" s="634" t="s">
        <v>53</v>
      </c>
      <c r="C7" s="44" t="s">
        <v>117</v>
      </c>
      <c r="D7" s="44"/>
      <c r="E7" s="44"/>
      <c r="F7" s="46" t="s">
        <v>116</v>
      </c>
      <c r="G7" s="46"/>
      <c r="H7" s="47"/>
    </row>
    <row r="8" spans="1:8" ht="18" customHeight="1">
      <c r="A8" s="638"/>
      <c r="B8" s="635"/>
      <c r="C8" s="337" t="s">
        <v>522</v>
      </c>
      <c r="D8" s="49" t="s">
        <v>118</v>
      </c>
      <c r="E8" s="25" t="s">
        <v>109</v>
      </c>
      <c r="F8" s="49" t="s">
        <v>113</v>
      </c>
      <c r="G8" s="49" t="s">
        <v>114</v>
      </c>
      <c r="H8" s="25" t="s">
        <v>109</v>
      </c>
    </row>
    <row r="9" spans="1:8" s="18" customFormat="1" ht="15">
      <c r="A9" s="59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</row>
    <row r="10" spans="1:8" ht="15" customHeight="1">
      <c r="A10" s="183" t="s">
        <v>279</v>
      </c>
      <c r="B10" s="30" t="s">
        <v>886</v>
      </c>
      <c r="C10" s="31"/>
      <c r="D10" s="31"/>
      <c r="E10" s="139">
        <f>SUM(C10:D10)</f>
        <v>0</v>
      </c>
      <c r="F10" s="31"/>
      <c r="G10" s="31"/>
      <c r="H10" s="139">
        <f>SUM(F10:G10)</f>
        <v>0</v>
      </c>
    </row>
    <row r="11" spans="1:8" ht="15" customHeight="1">
      <c r="A11" s="183">
        <f>'55'!A11</f>
        <v>1</v>
      </c>
      <c r="B11" s="30" t="str">
        <f>'55'!B11</f>
        <v>Kotawaringin Barat</v>
      </c>
      <c r="C11" s="31">
        <v>1</v>
      </c>
      <c r="D11" s="31">
        <v>0</v>
      </c>
      <c r="E11" s="139">
        <f aca="true" t="shared" si="0" ref="E11:E24">SUM(C11:D11)</f>
        <v>1</v>
      </c>
      <c r="F11" s="31">
        <v>8</v>
      </c>
      <c r="G11" s="31">
        <v>5</v>
      </c>
      <c r="H11" s="139">
        <f>SUM(F11:G11)</f>
        <v>13</v>
      </c>
    </row>
    <row r="12" spans="1:8" ht="15" customHeight="1">
      <c r="A12" s="183">
        <f>'55'!A12</f>
        <v>2</v>
      </c>
      <c r="B12" s="30" t="str">
        <f>'55'!B12</f>
        <v>Lamandau</v>
      </c>
      <c r="C12" s="31">
        <v>9</v>
      </c>
      <c r="D12" s="31">
        <v>0</v>
      </c>
      <c r="E12" s="139">
        <f t="shared" si="0"/>
        <v>9</v>
      </c>
      <c r="F12" s="31">
        <v>2</v>
      </c>
      <c r="G12" s="31">
        <v>0</v>
      </c>
      <c r="H12" s="139">
        <f aca="true" t="shared" si="1" ref="H12:H24">SUM(F12:G12)</f>
        <v>2</v>
      </c>
    </row>
    <row r="13" spans="1:8" ht="15" customHeight="1">
      <c r="A13" s="183">
        <f>'55'!A13</f>
        <v>3</v>
      </c>
      <c r="B13" s="30" t="str">
        <f>'55'!B13</f>
        <v>Sukamara</v>
      </c>
      <c r="C13" s="31">
        <v>1</v>
      </c>
      <c r="D13" s="31">
        <v>0</v>
      </c>
      <c r="E13" s="139">
        <f t="shared" si="0"/>
        <v>1</v>
      </c>
      <c r="F13" s="31">
        <v>4</v>
      </c>
      <c r="G13" s="31">
        <v>2</v>
      </c>
      <c r="H13" s="139">
        <f t="shared" si="1"/>
        <v>6</v>
      </c>
    </row>
    <row r="14" spans="1:8" ht="15" customHeight="1">
      <c r="A14" s="183">
        <f>'55'!A14</f>
        <v>4</v>
      </c>
      <c r="B14" s="30" t="str">
        <f>'55'!B14</f>
        <v>Kotawaringin Timur</v>
      </c>
      <c r="C14" s="31">
        <v>0</v>
      </c>
      <c r="D14" s="31">
        <v>0</v>
      </c>
      <c r="E14" s="139">
        <f t="shared" si="0"/>
        <v>0</v>
      </c>
      <c r="F14" s="31">
        <v>13</v>
      </c>
      <c r="G14" s="31">
        <v>7</v>
      </c>
      <c r="H14" s="139">
        <f t="shared" si="1"/>
        <v>20</v>
      </c>
    </row>
    <row r="15" spans="1:8" ht="15" customHeight="1">
      <c r="A15" s="183">
        <f>'55'!A15</f>
        <v>5</v>
      </c>
      <c r="B15" s="30" t="str">
        <f>'55'!B15</f>
        <v>Seruyan</v>
      </c>
      <c r="C15" s="31">
        <v>1</v>
      </c>
      <c r="D15" s="31">
        <v>0</v>
      </c>
      <c r="E15" s="139">
        <f t="shared" si="0"/>
        <v>1</v>
      </c>
      <c r="F15" s="31">
        <v>3</v>
      </c>
      <c r="G15" s="31">
        <v>3</v>
      </c>
      <c r="H15" s="139">
        <f t="shared" si="1"/>
        <v>6</v>
      </c>
    </row>
    <row r="16" spans="1:8" ht="15" customHeight="1">
      <c r="A16" s="183">
        <f>'55'!A16</f>
        <v>6</v>
      </c>
      <c r="B16" s="30" t="str">
        <f>'55'!B16</f>
        <v>Katingan</v>
      </c>
      <c r="C16" s="31">
        <v>0</v>
      </c>
      <c r="D16" s="31">
        <v>0</v>
      </c>
      <c r="E16" s="139">
        <f t="shared" si="0"/>
        <v>0</v>
      </c>
      <c r="F16" s="31">
        <v>4</v>
      </c>
      <c r="G16" s="31">
        <v>3</v>
      </c>
      <c r="H16" s="139">
        <f t="shared" si="1"/>
        <v>7</v>
      </c>
    </row>
    <row r="17" spans="1:8" ht="15" customHeight="1">
      <c r="A17" s="183">
        <f>'55'!A17</f>
        <v>7</v>
      </c>
      <c r="B17" s="30" t="str">
        <f>'55'!B17</f>
        <v>Kapuas</v>
      </c>
      <c r="C17" s="139">
        <v>9</v>
      </c>
      <c r="D17" s="139">
        <v>0</v>
      </c>
      <c r="E17" s="139">
        <f t="shared" si="0"/>
        <v>9</v>
      </c>
      <c r="F17" s="139">
        <v>10</v>
      </c>
      <c r="G17" s="139">
        <v>17</v>
      </c>
      <c r="H17" s="139">
        <f t="shared" si="1"/>
        <v>27</v>
      </c>
    </row>
    <row r="18" spans="1:8" ht="15" customHeight="1">
      <c r="A18" s="183">
        <f>'55'!A18</f>
        <v>8</v>
      </c>
      <c r="B18" s="30" t="str">
        <f>'55'!B18</f>
        <v>Pulang Pisau</v>
      </c>
      <c r="C18" s="139">
        <v>1</v>
      </c>
      <c r="D18" s="139">
        <v>0</v>
      </c>
      <c r="E18" s="139">
        <f t="shared" si="0"/>
        <v>1</v>
      </c>
      <c r="F18" s="139">
        <v>1</v>
      </c>
      <c r="G18" s="139">
        <v>5</v>
      </c>
      <c r="H18" s="139">
        <f t="shared" si="1"/>
        <v>6</v>
      </c>
    </row>
    <row r="19" spans="1:8" ht="15" customHeight="1">
      <c r="A19" s="183">
        <f>'55'!A19</f>
        <v>9</v>
      </c>
      <c r="B19" s="30" t="str">
        <f>'55'!B19</f>
        <v>Gunung Mas</v>
      </c>
      <c r="C19" s="139">
        <v>2</v>
      </c>
      <c r="D19" s="139">
        <v>0</v>
      </c>
      <c r="E19" s="139">
        <f t="shared" si="0"/>
        <v>2</v>
      </c>
      <c r="F19" s="31">
        <v>4</v>
      </c>
      <c r="G19" s="31">
        <v>0</v>
      </c>
      <c r="H19" s="139">
        <f t="shared" si="1"/>
        <v>4</v>
      </c>
    </row>
    <row r="20" spans="1:8" ht="15" customHeight="1">
      <c r="A20" s="183">
        <f>'55'!A20</f>
        <v>10</v>
      </c>
      <c r="B20" s="30" t="str">
        <f>'55'!B20</f>
        <v>Barito Selatan</v>
      </c>
      <c r="C20" s="139">
        <v>1</v>
      </c>
      <c r="D20" s="139">
        <v>1</v>
      </c>
      <c r="E20" s="139">
        <f t="shared" si="0"/>
        <v>2</v>
      </c>
      <c r="F20" s="31">
        <v>8</v>
      </c>
      <c r="G20" s="31">
        <v>7</v>
      </c>
      <c r="H20" s="139">
        <f t="shared" si="1"/>
        <v>15</v>
      </c>
    </row>
    <row r="21" spans="1:8" ht="15" customHeight="1">
      <c r="A21" s="183">
        <f>'55'!A21</f>
        <v>11</v>
      </c>
      <c r="B21" s="30" t="str">
        <f>'55'!B21</f>
        <v>Barito Timur</v>
      </c>
      <c r="C21" s="139">
        <v>1</v>
      </c>
      <c r="D21" s="139">
        <v>0</v>
      </c>
      <c r="E21" s="139">
        <f t="shared" si="0"/>
        <v>1</v>
      </c>
      <c r="F21" s="139">
        <v>5</v>
      </c>
      <c r="G21" s="139">
        <v>10</v>
      </c>
      <c r="H21" s="139">
        <f t="shared" si="1"/>
        <v>15</v>
      </c>
    </row>
    <row r="22" spans="1:8" ht="15" customHeight="1">
      <c r="A22" s="183">
        <f>'55'!A22</f>
        <v>12</v>
      </c>
      <c r="B22" s="30" t="str">
        <f>'55'!B22</f>
        <v>Barito Utara</v>
      </c>
      <c r="C22" s="139">
        <v>7</v>
      </c>
      <c r="D22" s="139">
        <v>8</v>
      </c>
      <c r="E22" s="139">
        <f t="shared" si="0"/>
        <v>15</v>
      </c>
      <c r="F22" s="139">
        <v>0</v>
      </c>
      <c r="G22" s="139">
        <v>4</v>
      </c>
      <c r="H22" s="139">
        <f t="shared" si="1"/>
        <v>4</v>
      </c>
    </row>
    <row r="23" spans="1:8" ht="15" customHeight="1">
      <c r="A23" s="183">
        <f>'55'!A23</f>
        <v>13</v>
      </c>
      <c r="B23" s="30" t="str">
        <f>'55'!B23</f>
        <v>Murung Raya</v>
      </c>
      <c r="C23" s="139">
        <v>3</v>
      </c>
      <c r="D23" s="139">
        <v>0</v>
      </c>
      <c r="E23" s="139">
        <v>3</v>
      </c>
      <c r="F23" s="139">
        <v>6</v>
      </c>
      <c r="G23" s="139">
        <v>3</v>
      </c>
      <c r="H23" s="139">
        <f t="shared" si="1"/>
        <v>9</v>
      </c>
    </row>
    <row r="24" spans="1:8" ht="15" customHeight="1">
      <c r="A24" s="183">
        <f>'55'!A24</f>
        <v>14</v>
      </c>
      <c r="B24" s="30" t="str">
        <f>'55'!B24</f>
        <v>Palangka Raya</v>
      </c>
      <c r="C24" s="31">
        <v>4</v>
      </c>
      <c r="D24" s="31">
        <v>0</v>
      </c>
      <c r="E24" s="139">
        <f t="shared" si="0"/>
        <v>4</v>
      </c>
      <c r="F24" s="31">
        <v>5</v>
      </c>
      <c r="G24" s="31">
        <v>7</v>
      </c>
      <c r="H24" s="139">
        <f t="shared" si="1"/>
        <v>12</v>
      </c>
    </row>
    <row r="25" spans="1:8" ht="15" customHeight="1">
      <c r="A25" s="232"/>
      <c r="B25" s="35"/>
      <c r="C25" s="36"/>
      <c r="D25" s="36"/>
      <c r="E25" s="164">
        <f>SUM(C25:D25)</f>
        <v>0</v>
      </c>
      <c r="F25" s="36"/>
      <c r="G25" s="36"/>
      <c r="H25" s="164">
        <f>SUM(F25:G25)</f>
        <v>0</v>
      </c>
    </row>
    <row r="26" spans="1:8" ht="19.5" customHeight="1">
      <c r="A26" s="138" t="s">
        <v>62</v>
      </c>
      <c r="B26" s="30"/>
      <c r="C26" s="31">
        <f aca="true" t="shared" si="2" ref="C26:H26">SUM(C10:C25)</f>
        <v>40</v>
      </c>
      <c r="D26" s="31">
        <f t="shared" si="2"/>
        <v>9</v>
      </c>
      <c r="E26" s="31">
        <f t="shared" si="2"/>
        <v>49</v>
      </c>
      <c r="F26" s="31">
        <f t="shared" si="2"/>
        <v>73</v>
      </c>
      <c r="G26" s="31">
        <f t="shared" si="2"/>
        <v>73</v>
      </c>
      <c r="H26" s="31">
        <f t="shared" si="2"/>
        <v>146</v>
      </c>
    </row>
    <row r="27" spans="1:8" ht="15" customHeight="1">
      <c r="A27" s="142" t="s">
        <v>871</v>
      </c>
      <c r="B27" s="178" t="s">
        <v>428</v>
      </c>
      <c r="C27" s="196"/>
      <c r="D27" s="196"/>
      <c r="E27" s="140"/>
      <c r="F27" s="196"/>
      <c r="G27" s="196"/>
      <c r="H27" s="140"/>
    </row>
    <row r="28" spans="1:8" ht="15" customHeight="1">
      <c r="A28" s="138">
        <f>'55'!A28</f>
        <v>1</v>
      </c>
      <c r="B28" s="30" t="str">
        <f>'55'!B28</f>
        <v>Dr. St. Imanuddin</v>
      </c>
      <c r="C28" s="31">
        <v>6</v>
      </c>
      <c r="D28" s="31">
        <v>0</v>
      </c>
      <c r="E28" s="139">
        <f aca="true" t="shared" si="3" ref="E28:E44">SUM(C28:D28)</f>
        <v>6</v>
      </c>
      <c r="F28" s="31">
        <v>0</v>
      </c>
      <c r="G28" s="31">
        <v>2</v>
      </c>
      <c r="H28" s="139">
        <f aca="true" t="shared" si="4" ref="H28:H44">SUM(F28:G28)</f>
        <v>2</v>
      </c>
    </row>
    <row r="29" spans="1:8" ht="15" customHeight="1">
      <c r="A29" s="138">
        <f>'55'!A29</f>
        <v>2</v>
      </c>
      <c r="B29" s="30" t="str">
        <f>'55'!B29</f>
        <v>Lamandau</v>
      </c>
      <c r="C29" s="31">
        <v>1</v>
      </c>
      <c r="D29" s="31">
        <v>0</v>
      </c>
      <c r="E29" s="139">
        <f t="shared" si="3"/>
        <v>1</v>
      </c>
      <c r="F29" s="31">
        <v>0</v>
      </c>
      <c r="G29" s="31">
        <v>0</v>
      </c>
      <c r="H29" s="139">
        <f t="shared" si="4"/>
        <v>0</v>
      </c>
    </row>
    <row r="30" spans="1:8" ht="15" customHeight="1">
      <c r="A30" s="138">
        <f>'55'!A30</f>
        <v>3</v>
      </c>
      <c r="B30" s="30" t="str">
        <f>'55'!B30</f>
        <v>Sukamara</v>
      </c>
      <c r="C30" s="31">
        <v>3</v>
      </c>
      <c r="D30" s="31">
        <v>0</v>
      </c>
      <c r="E30" s="139">
        <f t="shared" si="3"/>
        <v>3</v>
      </c>
      <c r="F30" s="139">
        <v>1</v>
      </c>
      <c r="G30" s="139">
        <v>1</v>
      </c>
      <c r="H30" s="139">
        <f t="shared" si="4"/>
        <v>2</v>
      </c>
    </row>
    <row r="31" spans="1:8" ht="15" customHeight="1">
      <c r="A31" s="138">
        <f>'55'!A31</f>
        <v>4</v>
      </c>
      <c r="B31" s="30" t="str">
        <f>'55'!B31</f>
        <v>Dr. Murjani</v>
      </c>
      <c r="C31" s="31">
        <v>6</v>
      </c>
      <c r="D31" s="31">
        <v>0</v>
      </c>
      <c r="E31" s="139">
        <f t="shared" si="3"/>
        <v>6</v>
      </c>
      <c r="F31" s="31">
        <v>4</v>
      </c>
      <c r="G31" s="31">
        <v>0</v>
      </c>
      <c r="H31" s="139">
        <f t="shared" si="4"/>
        <v>4</v>
      </c>
    </row>
    <row r="32" spans="1:8" ht="15" customHeight="1">
      <c r="A32" s="138">
        <f>'55'!A32</f>
        <v>5</v>
      </c>
      <c r="B32" s="30" t="str">
        <f>'55'!B32</f>
        <v>Kuala Pembuang</v>
      </c>
      <c r="C32" s="31">
        <v>0</v>
      </c>
      <c r="D32" s="31">
        <v>0</v>
      </c>
      <c r="E32" s="139">
        <f t="shared" si="3"/>
        <v>0</v>
      </c>
      <c r="F32" s="31">
        <v>1</v>
      </c>
      <c r="G32" s="31">
        <v>0</v>
      </c>
      <c r="H32" s="139">
        <f t="shared" si="4"/>
        <v>1</v>
      </c>
    </row>
    <row r="33" spans="1:8" ht="15" customHeight="1">
      <c r="A33" s="138">
        <f>'55'!A33</f>
        <v>6</v>
      </c>
      <c r="B33" s="30" t="str">
        <f>'55'!B33</f>
        <v>Hanua</v>
      </c>
      <c r="C33" s="31">
        <v>1</v>
      </c>
      <c r="D33" s="31">
        <v>0</v>
      </c>
      <c r="E33" s="139">
        <f>SUM(C33:D33)</f>
        <v>1</v>
      </c>
      <c r="F33" s="31">
        <v>0</v>
      </c>
      <c r="G33" s="31">
        <v>1</v>
      </c>
      <c r="H33" s="139">
        <f>SUM(F33:G33)</f>
        <v>1</v>
      </c>
    </row>
    <row r="34" spans="1:8" ht="15" customHeight="1">
      <c r="A34" s="138">
        <f>'55'!A34</f>
        <v>7</v>
      </c>
      <c r="B34" s="30" t="str">
        <f>'55'!B34</f>
        <v>Kasongan</v>
      </c>
      <c r="C34" s="31">
        <v>3</v>
      </c>
      <c r="D34" s="31">
        <v>1</v>
      </c>
      <c r="E34" s="139">
        <f t="shared" si="3"/>
        <v>4</v>
      </c>
      <c r="F34" s="31">
        <v>2</v>
      </c>
      <c r="G34" s="31">
        <v>0</v>
      </c>
      <c r="H34" s="139">
        <f t="shared" si="4"/>
        <v>2</v>
      </c>
    </row>
    <row r="35" spans="1:8" ht="15" customHeight="1">
      <c r="A35" s="138">
        <f>'55'!A35</f>
        <v>8</v>
      </c>
      <c r="B35" s="30" t="str">
        <f>'55'!B35</f>
        <v>Dr. Soemarno SA</v>
      </c>
      <c r="C35" s="31">
        <v>4</v>
      </c>
      <c r="D35" s="31">
        <v>0</v>
      </c>
      <c r="E35" s="139">
        <f t="shared" si="3"/>
        <v>4</v>
      </c>
      <c r="F35" s="31">
        <v>3</v>
      </c>
      <c r="G35" s="31">
        <v>3</v>
      </c>
      <c r="H35" s="139">
        <f t="shared" si="4"/>
        <v>6</v>
      </c>
    </row>
    <row r="36" spans="1:8" ht="15" customHeight="1">
      <c r="A36" s="138">
        <f>'55'!A36</f>
        <v>9</v>
      </c>
      <c r="B36" s="30" t="str">
        <f>'55'!B36</f>
        <v>Pulang Pisau</v>
      </c>
      <c r="C36" s="139">
        <v>0</v>
      </c>
      <c r="D36" s="139">
        <v>0</v>
      </c>
      <c r="E36" s="139">
        <f t="shared" si="3"/>
        <v>0</v>
      </c>
      <c r="F36" s="139">
        <v>0</v>
      </c>
      <c r="G36" s="139">
        <v>0</v>
      </c>
      <c r="H36" s="139">
        <f t="shared" si="4"/>
        <v>0</v>
      </c>
    </row>
    <row r="37" spans="1:8" ht="15" customHeight="1">
      <c r="A37" s="138">
        <f>'55'!A37</f>
        <v>10</v>
      </c>
      <c r="B37" s="30" t="str">
        <f>'55'!B37</f>
        <v>Kuala Kurun</v>
      </c>
      <c r="C37" s="31">
        <v>0</v>
      </c>
      <c r="D37" s="31">
        <v>0</v>
      </c>
      <c r="E37" s="139">
        <f t="shared" si="3"/>
        <v>0</v>
      </c>
      <c r="F37" s="139">
        <v>0</v>
      </c>
      <c r="G37" s="139">
        <v>1</v>
      </c>
      <c r="H37" s="139">
        <f t="shared" si="4"/>
        <v>1</v>
      </c>
    </row>
    <row r="38" spans="1:8" ht="15" customHeight="1">
      <c r="A38" s="138">
        <f>'55'!A38</f>
        <v>11</v>
      </c>
      <c r="B38" s="30" t="str">
        <f>'55'!B38</f>
        <v>Buntok</v>
      </c>
      <c r="C38" s="31">
        <v>3</v>
      </c>
      <c r="D38" s="31">
        <v>0</v>
      </c>
      <c r="E38" s="139">
        <f t="shared" si="3"/>
        <v>3</v>
      </c>
      <c r="F38" s="31">
        <v>1</v>
      </c>
      <c r="G38" s="31">
        <v>5</v>
      </c>
      <c r="H38" s="139">
        <f t="shared" si="4"/>
        <v>6</v>
      </c>
    </row>
    <row r="39" spans="1:8" ht="15" customHeight="1">
      <c r="A39" s="138">
        <f>'55'!A39</f>
        <v>12</v>
      </c>
      <c r="B39" s="30" t="str">
        <f>'55'!B39</f>
        <v>Tamiang Layang</v>
      </c>
      <c r="C39" s="31">
        <v>2</v>
      </c>
      <c r="D39" s="31">
        <v>0</v>
      </c>
      <c r="E39" s="139">
        <f t="shared" si="3"/>
        <v>2</v>
      </c>
      <c r="F39" s="139">
        <v>0</v>
      </c>
      <c r="G39" s="139">
        <v>2</v>
      </c>
      <c r="H39" s="139">
        <f t="shared" si="4"/>
        <v>2</v>
      </c>
    </row>
    <row r="40" spans="1:8" ht="15" customHeight="1">
      <c r="A40" s="138">
        <f>'55'!A40</f>
        <v>13</v>
      </c>
      <c r="B40" s="30" t="str">
        <f>'55'!B40</f>
        <v>Muara Teweh</v>
      </c>
      <c r="C40" s="139">
        <v>5</v>
      </c>
      <c r="D40" s="139">
        <v>1</v>
      </c>
      <c r="E40" s="139">
        <f t="shared" si="3"/>
        <v>6</v>
      </c>
      <c r="F40" s="139">
        <v>0</v>
      </c>
      <c r="G40" s="139">
        <v>0</v>
      </c>
      <c r="H40" s="139">
        <f t="shared" si="4"/>
        <v>0</v>
      </c>
    </row>
    <row r="41" spans="1:8" ht="15" customHeight="1">
      <c r="A41" s="138">
        <f>'55'!A41</f>
        <v>14</v>
      </c>
      <c r="B41" s="30" t="str">
        <f>'55'!B41</f>
        <v>Puruk Cahu</v>
      </c>
      <c r="C41" s="31">
        <v>0</v>
      </c>
      <c r="D41" s="31">
        <v>0</v>
      </c>
      <c r="E41" s="139">
        <f t="shared" si="3"/>
        <v>0</v>
      </c>
      <c r="F41" s="31">
        <v>3</v>
      </c>
      <c r="G41" s="31">
        <v>0</v>
      </c>
      <c r="H41" s="139">
        <f t="shared" si="4"/>
        <v>3</v>
      </c>
    </row>
    <row r="42" spans="1:8" ht="15" customHeight="1">
      <c r="A42" s="138">
        <f>'55'!A42</f>
        <v>15</v>
      </c>
      <c r="B42" s="30" t="str">
        <f>'55'!B42</f>
        <v>Dr. Doris Sylvanus</v>
      </c>
      <c r="C42" s="31">
        <v>6</v>
      </c>
      <c r="D42" s="31">
        <v>0</v>
      </c>
      <c r="E42" s="139">
        <f t="shared" si="3"/>
        <v>6</v>
      </c>
      <c r="F42" s="31">
        <v>9</v>
      </c>
      <c r="G42" s="31">
        <v>10</v>
      </c>
      <c r="H42" s="139">
        <f t="shared" si="4"/>
        <v>19</v>
      </c>
    </row>
    <row r="43" spans="1:8" ht="15" customHeight="1">
      <c r="A43" s="138">
        <f>'55'!A43</f>
        <v>16</v>
      </c>
      <c r="B43" s="30" t="str">
        <f>'55'!B43</f>
        <v>RS Bhayangkara</v>
      </c>
      <c r="C43" s="31">
        <v>0</v>
      </c>
      <c r="D43" s="31">
        <v>0</v>
      </c>
      <c r="E43" s="139">
        <f t="shared" si="3"/>
        <v>0</v>
      </c>
      <c r="F43" s="31">
        <v>0</v>
      </c>
      <c r="G43" s="31">
        <v>0</v>
      </c>
      <c r="H43" s="139">
        <f t="shared" si="4"/>
        <v>0</v>
      </c>
    </row>
    <row r="44" spans="1:8" ht="15" customHeight="1">
      <c r="A44" s="138">
        <f>'55'!A44</f>
        <v>17</v>
      </c>
      <c r="B44" s="30" t="str">
        <f>'55'!B44</f>
        <v>RS TNI Denkensyah</v>
      </c>
      <c r="C44" s="31">
        <v>0</v>
      </c>
      <c r="D44" s="31">
        <v>0</v>
      </c>
      <c r="E44" s="139">
        <f t="shared" si="3"/>
        <v>0</v>
      </c>
      <c r="F44" s="31">
        <v>0</v>
      </c>
      <c r="G44" s="31">
        <v>0</v>
      </c>
      <c r="H44" s="139">
        <f t="shared" si="4"/>
        <v>0</v>
      </c>
    </row>
    <row r="45" spans="1:8" ht="15" customHeight="1">
      <c r="A45" s="138"/>
      <c r="B45" s="30"/>
      <c r="C45" s="31"/>
      <c r="D45" s="31"/>
      <c r="E45" s="139"/>
      <c r="F45" s="31"/>
      <c r="G45" s="31"/>
      <c r="H45" s="139"/>
    </row>
    <row r="46" spans="1:8" ht="19.5" customHeight="1">
      <c r="A46" s="142" t="s">
        <v>63</v>
      </c>
      <c r="B46" s="178"/>
      <c r="C46" s="196">
        <f aca="true" t="shared" si="5" ref="C46:H46">SUM(C27:C45)</f>
        <v>40</v>
      </c>
      <c r="D46" s="196">
        <f t="shared" si="5"/>
        <v>2</v>
      </c>
      <c r="E46" s="196">
        <f t="shared" si="5"/>
        <v>42</v>
      </c>
      <c r="F46" s="196">
        <f t="shared" si="5"/>
        <v>24</v>
      </c>
      <c r="G46" s="196">
        <f t="shared" si="5"/>
        <v>25</v>
      </c>
      <c r="H46" s="196">
        <f t="shared" si="5"/>
        <v>49</v>
      </c>
    </row>
    <row r="47" spans="1:8" ht="19.5" customHeight="1">
      <c r="A47" s="528" t="s">
        <v>64</v>
      </c>
      <c r="B47" s="178"/>
      <c r="C47" s="196">
        <f aca="true" t="shared" si="6" ref="C47:H47">SUM(C48:C51)</f>
        <v>11</v>
      </c>
      <c r="D47" s="196">
        <f t="shared" si="6"/>
        <v>2</v>
      </c>
      <c r="E47" s="196">
        <f t="shared" si="6"/>
        <v>13</v>
      </c>
      <c r="F47" s="196">
        <f t="shared" si="6"/>
        <v>1</v>
      </c>
      <c r="G47" s="196">
        <f t="shared" si="6"/>
        <v>0</v>
      </c>
      <c r="H47" s="196">
        <f t="shared" si="6"/>
        <v>1</v>
      </c>
    </row>
    <row r="48" spans="1:8" ht="14.25" customHeight="1">
      <c r="A48" s="528">
        <f>'55'!A48</f>
        <v>1</v>
      </c>
      <c r="B48" s="178" t="str">
        <f>'55'!B48</f>
        <v>Akper Kapuas</v>
      </c>
      <c r="C48" s="196">
        <v>3</v>
      </c>
      <c r="D48" s="196">
        <v>0</v>
      </c>
      <c r="E48" s="140">
        <f>SUM(C48:D48)</f>
        <v>3</v>
      </c>
      <c r="F48" s="196">
        <v>0</v>
      </c>
      <c r="G48" s="196">
        <v>0</v>
      </c>
      <c r="H48" s="140">
        <f>SUM(F48:G48)</f>
        <v>0</v>
      </c>
    </row>
    <row r="49" spans="1:8" ht="14.25" customHeight="1">
      <c r="A49" s="183">
        <f>'55'!A49</f>
        <v>2</v>
      </c>
      <c r="B49" s="30" t="str">
        <f>'55'!B49</f>
        <v>Akper Sampit</v>
      </c>
      <c r="C49" s="139">
        <v>2</v>
      </c>
      <c r="D49" s="139">
        <v>0</v>
      </c>
      <c r="E49" s="139">
        <f>SUM(C49:D49)</f>
        <v>2</v>
      </c>
      <c r="F49" s="139">
        <v>0</v>
      </c>
      <c r="G49" s="139">
        <v>0</v>
      </c>
      <c r="H49" s="139">
        <f>SUM(F49:G49)</f>
        <v>0</v>
      </c>
    </row>
    <row r="50" spans="1:8" ht="14.25" customHeight="1">
      <c r="A50" s="183">
        <f>'55'!A50</f>
        <v>3</v>
      </c>
      <c r="B50" s="30" t="str">
        <f>'55'!B50</f>
        <v>Poltekes *)</v>
      </c>
      <c r="C50" s="31">
        <v>4</v>
      </c>
      <c r="D50" s="31">
        <v>2</v>
      </c>
      <c r="E50" s="139">
        <f>SUM(C50:D50)</f>
        <v>6</v>
      </c>
      <c r="F50" s="31">
        <v>0</v>
      </c>
      <c r="G50" s="31">
        <v>0</v>
      </c>
      <c r="H50" s="139">
        <f>SUM(F50:G50)</f>
        <v>0</v>
      </c>
    </row>
    <row r="51" spans="1:8" ht="14.25" customHeight="1">
      <c r="A51" s="183">
        <f>'55'!A51</f>
        <v>4</v>
      </c>
      <c r="B51" s="30" t="str">
        <f>'55'!B51</f>
        <v>Bapelkes Palangka Raya</v>
      </c>
      <c r="C51" s="31">
        <v>2</v>
      </c>
      <c r="D51" s="31">
        <v>0</v>
      </c>
      <c r="E51" s="139">
        <f>SUM(C51:D51)</f>
        <v>2</v>
      </c>
      <c r="F51" s="31">
        <v>1</v>
      </c>
      <c r="G51" s="31">
        <v>0</v>
      </c>
      <c r="H51" s="139">
        <f>SUM(F51:G51)</f>
        <v>1</v>
      </c>
    </row>
    <row r="52" spans="1:8" ht="14.25" customHeight="1">
      <c r="A52" s="232"/>
      <c r="B52" s="35"/>
      <c r="C52" s="36"/>
      <c r="D52" s="36"/>
      <c r="E52" s="164"/>
      <c r="F52" s="36"/>
      <c r="G52" s="36"/>
      <c r="H52" s="164"/>
    </row>
    <row r="53" spans="1:8" ht="19.5" customHeight="1">
      <c r="A53" s="528" t="s">
        <v>65</v>
      </c>
      <c r="B53" s="178"/>
      <c r="C53" s="196">
        <f aca="true" t="shared" si="7" ref="C53:H53">SUM(C54:C61)</f>
        <v>10</v>
      </c>
      <c r="D53" s="196">
        <f t="shared" si="7"/>
        <v>0</v>
      </c>
      <c r="E53" s="109">
        <f t="shared" si="7"/>
        <v>10</v>
      </c>
      <c r="F53" s="109">
        <f t="shared" si="7"/>
        <v>13</v>
      </c>
      <c r="G53" s="109">
        <f t="shared" si="7"/>
        <v>1</v>
      </c>
      <c r="H53" s="109">
        <f t="shared" si="7"/>
        <v>14</v>
      </c>
    </row>
    <row r="54" spans="1:8" ht="14.25" customHeight="1">
      <c r="A54" s="528">
        <f>'55'!A54</f>
        <v>1</v>
      </c>
      <c r="B54" s="178" t="str">
        <f>'55'!B54</f>
        <v>KKP Sampit</v>
      </c>
      <c r="C54" s="140">
        <v>2</v>
      </c>
      <c r="D54" s="140">
        <v>0</v>
      </c>
      <c r="E54" s="139">
        <f aca="true" t="shared" si="8" ref="E54:E60">SUM(C54:D54)</f>
        <v>2</v>
      </c>
      <c r="F54" s="31">
        <v>5</v>
      </c>
      <c r="G54" s="31">
        <v>0</v>
      </c>
      <c r="H54" s="139">
        <f aca="true" t="shared" si="9" ref="H54:H60">SUM(F54:G54)</f>
        <v>5</v>
      </c>
    </row>
    <row r="55" spans="1:8" ht="14.25" customHeight="1">
      <c r="A55" s="183">
        <f>'55'!A55</f>
        <v>2</v>
      </c>
      <c r="B55" s="30" t="str">
        <f>'55'!B55</f>
        <v>KKP Pulang Pisau</v>
      </c>
      <c r="C55" s="31">
        <v>5</v>
      </c>
      <c r="D55" s="31">
        <v>0</v>
      </c>
      <c r="E55" s="139">
        <f t="shared" si="8"/>
        <v>5</v>
      </c>
      <c r="F55" s="31">
        <v>5</v>
      </c>
      <c r="G55" s="31">
        <v>0</v>
      </c>
      <c r="H55" s="139">
        <f t="shared" si="9"/>
        <v>5</v>
      </c>
    </row>
    <row r="56" spans="1:8" ht="14.25" customHeight="1">
      <c r="A56" s="183">
        <f>'55'!A56</f>
        <v>3</v>
      </c>
      <c r="B56" s="30" t="str">
        <f>'55'!B56</f>
        <v>Labkesda/GFK Kuala Kapuas</v>
      </c>
      <c r="C56" s="31">
        <v>2</v>
      </c>
      <c r="D56" s="31">
        <v>0</v>
      </c>
      <c r="E56" s="139">
        <f t="shared" si="8"/>
        <v>2</v>
      </c>
      <c r="F56" s="31">
        <v>1</v>
      </c>
      <c r="G56" s="31">
        <v>0</v>
      </c>
      <c r="H56" s="139">
        <f t="shared" si="9"/>
        <v>1</v>
      </c>
    </row>
    <row r="57" spans="1:8" ht="14.25" customHeight="1">
      <c r="A57" s="183">
        <f>'55'!A57</f>
        <v>4</v>
      </c>
      <c r="B57" s="138" t="str">
        <f>'55'!B57</f>
        <v>Labkesda &amp; GFK Pangkalan Bun</v>
      </c>
      <c r="C57" s="31">
        <v>0</v>
      </c>
      <c r="D57" s="31">
        <v>0</v>
      </c>
      <c r="E57" s="139"/>
      <c r="F57" s="31">
        <v>1</v>
      </c>
      <c r="G57" s="31">
        <v>0</v>
      </c>
      <c r="H57" s="139">
        <f t="shared" si="9"/>
        <v>1</v>
      </c>
    </row>
    <row r="58" spans="1:8" ht="14.25" customHeight="1">
      <c r="A58" s="183">
        <f>'55'!A58</f>
        <v>5</v>
      </c>
      <c r="B58" s="30" t="str">
        <f>'55'!B58</f>
        <v>Balai Keswamas Palangka Raya</v>
      </c>
      <c r="C58" s="31">
        <v>0</v>
      </c>
      <c r="D58" s="31">
        <v>0</v>
      </c>
      <c r="E58" s="139">
        <f t="shared" si="8"/>
        <v>0</v>
      </c>
      <c r="F58" s="31">
        <v>0</v>
      </c>
      <c r="G58" s="31">
        <v>0</v>
      </c>
      <c r="H58" s="139">
        <f t="shared" si="9"/>
        <v>0</v>
      </c>
    </row>
    <row r="59" spans="1:8" ht="14.25" customHeight="1">
      <c r="A59" s="183">
        <f>'55'!A59</f>
        <v>6</v>
      </c>
      <c r="B59" s="30" t="str">
        <f>'55'!B59</f>
        <v>Balai Labkes Palangka Raya</v>
      </c>
      <c r="C59" s="31">
        <v>0</v>
      </c>
      <c r="D59" s="31">
        <v>0</v>
      </c>
      <c r="E59" s="139">
        <f t="shared" si="8"/>
        <v>0</v>
      </c>
      <c r="F59" s="31">
        <v>0</v>
      </c>
      <c r="G59" s="31">
        <v>1</v>
      </c>
      <c r="H59" s="139">
        <f t="shared" si="9"/>
        <v>1</v>
      </c>
    </row>
    <row r="60" spans="1:8" ht="14.25" customHeight="1">
      <c r="A60" s="183">
        <f>'55'!A60</f>
        <v>7</v>
      </c>
      <c r="B60" s="30" t="str">
        <f>'55'!B60</f>
        <v>Badan POM Palangka Raya *)</v>
      </c>
      <c r="C60" s="31">
        <v>0</v>
      </c>
      <c r="D60" s="31">
        <v>0</v>
      </c>
      <c r="E60" s="139">
        <f t="shared" si="8"/>
        <v>0</v>
      </c>
      <c r="F60" s="31">
        <v>1</v>
      </c>
      <c r="G60" s="31">
        <v>0</v>
      </c>
      <c r="H60" s="139">
        <f t="shared" si="9"/>
        <v>1</v>
      </c>
    </row>
    <row r="61" spans="1:8" ht="14.25" customHeight="1">
      <c r="A61" s="138">
        <v>8</v>
      </c>
      <c r="B61" s="33" t="s">
        <v>590</v>
      </c>
      <c r="C61" s="31">
        <v>1</v>
      </c>
      <c r="D61" s="31">
        <v>0</v>
      </c>
      <c r="E61" s="139">
        <f>SUM(C61:D61)</f>
        <v>1</v>
      </c>
      <c r="F61" s="31">
        <v>0</v>
      </c>
      <c r="G61" s="31">
        <v>0</v>
      </c>
      <c r="H61" s="139">
        <f>SUM(F61:G61)</f>
        <v>0</v>
      </c>
    </row>
    <row r="62" spans="1:8" ht="14.25" customHeight="1">
      <c r="A62" s="232"/>
      <c r="B62" s="35"/>
      <c r="C62" s="36"/>
      <c r="D62" s="36"/>
      <c r="E62" s="164"/>
      <c r="F62" s="36"/>
      <c r="G62" s="36"/>
      <c r="H62" s="164"/>
    </row>
    <row r="63" spans="1:8" ht="19.5" customHeight="1">
      <c r="A63" s="144" t="s">
        <v>66</v>
      </c>
      <c r="B63" s="108"/>
      <c r="C63" s="109">
        <f aca="true" t="shared" si="10" ref="C63:H63">SUM(C64:C78)</f>
        <v>125</v>
      </c>
      <c r="D63" s="109">
        <f t="shared" si="10"/>
        <v>3</v>
      </c>
      <c r="E63" s="109">
        <f t="shared" si="10"/>
        <v>128</v>
      </c>
      <c r="F63" s="109">
        <f t="shared" si="10"/>
        <v>35</v>
      </c>
      <c r="G63" s="109">
        <f t="shared" si="10"/>
        <v>12</v>
      </c>
      <c r="H63" s="109">
        <f t="shared" si="10"/>
        <v>47</v>
      </c>
    </row>
    <row r="64" spans="1:8" ht="15.75" customHeight="1">
      <c r="A64" s="528">
        <f>'55'!A64</f>
        <v>1</v>
      </c>
      <c r="B64" s="178" t="str">
        <f>'55'!B64</f>
        <v>Kotawaringin Barat</v>
      </c>
      <c r="C64" s="140">
        <v>12</v>
      </c>
      <c r="D64" s="140">
        <v>0</v>
      </c>
      <c r="E64" s="139">
        <f aca="true" t="shared" si="11" ref="E64:E78">SUM(C64:D64)</f>
        <v>12</v>
      </c>
      <c r="F64" s="196">
        <v>1</v>
      </c>
      <c r="G64" s="196">
        <v>1</v>
      </c>
      <c r="H64" s="139">
        <f aca="true" t="shared" si="12" ref="H64:H78">SUM(F64:G64)</f>
        <v>2</v>
      </c>
    </row>
    <row r="65" spans="1:8" ht="15.75" customHeight="1">
      <c r="A65" s="183">
        <f>'55'!A65</f>
        <v>2</v>
      </c>
      <c r="B65" s="30" t="str">
        <f>'55'!B65</f>
        <v>Lamandau</v>
      </c>
      <c r="C65" s="31">
        <v>6</v>
      </c>
      <c r="D65" s="31">
        <v>0</v>
      </c>
      <c r="E65" s="139">
        <f t="shared" si="11"/>
        <v>6</v>
      </c>
      <c r="F65" s="31">
        <v>1</v>
      </c>
      <c r="G65" s="31">
        <v>0</v>
      </c>
      <c r="H65" s="139">
        <f t="shared" si="12"/>
        <v>1</v>
      </c>
    </row>
    <row r="66" spans="1:8" ht="15.75" customHeight="1">
      <c r="A66" s="183">
        <f>'55'!A66</f>
        <v>3</v>
      </c>
      <c r="B66" s="30" t="str">
        <f>'55'!B66</f>
        <v>Sukamara</v>
      </c>
      <c r="C66" s="31">
        <v>4</v>
      </c>
      <c r="D66" s="31">
        <v>0</v>
      </c>
      <c r="E66" s="139">
        <f t="shared" si="11"/>
        <v>4</v>
      </c>
      <c r="F66" s="31">
        <v>4</v>
      </c>
      <c r="G66" s="31">
        <v>1</v>
      </c>
      <c r="H66" s="139">
        <f t="shared" si="12"/>
        <v>5</v>
      </c>
    </row>
    <row r="67" spans="1:8" ht="15.75" customHeight="1">
      <c r="A67" s="183">
        <f>'55'!A67</f>
        <v>4</v>
      </c>
      <c r="B67" s="30" t="str">
        <f>'55'!B67</f>
        <v>Kotawaringin Timur</v>
      </c>
      <c r="C67" s="31">
        <v>15</v>
      </c>
      <c r="D67" s="31">
        <v>0</v>
      </c>
      <c r="E67" s="139">
        <f t="shared" si="11"/>
        <v>15</v>
      </c>
      <c r="F67" s="139">
        <v>5</v>
      </c>
      <c r="G67" s="139">
        <v>0</v>
      </c>
      <c r="H67" s="139">
        <f t="shared" si="12"/>
        <v>5</v>
      </c>
    </row>
    <row r="68" spans="1:8" ht="15.75" customHeight="1">
      <c r="A68" s="183">
        <f>'55'!A68</f>
        <v>5</v>
      </c>
      <c r="B68" s="30" t="str">
        <f>'55'!B68</f>
        <v>Seruyan</v>
      </c>
      <c r="C68" s="31">
        <v>9</v>
      </c>
      <c r="D68" s="31">
        <v>0</v>
      </c>
      <c r="E68" s="139">
        <f t="shared" si="11"/>
        <v>9</v>
      </c>
      <c r="F68" s="31">
        <v>5</v>
      </c>
      <c r="G68" s="31">
        <v>1</v>
      </c>
      <c r="H68" s="139">
        <f t="shared" si="12"/>
        <v>6</v>
      </c>
    </row>
    <row r="69" spans="1:8" ht="15.75" customHeight="1">
      <c r="A69" s="183">
        <f>'55'!A69</f>
        <v>6</v>
      </c>
      <c r="B69" s="30" t="str">
        <f>'55'!B69</f>
        <v>Katingan</v>
      </c>
      <c r="C69" s="31">
        <v>8</v>
      </c>
      <c r="D69" s="31">
        <v>0</v>
      </c>
      <c r="E69" s="139">
        <f t="shared" si="11"/>
        <v>8</v>
      </c>
      <c r="F69" s="31">
        <v>2</v>
      </c>
      <c r="G69" s="31">
        <v>0</v>
      </c>
      <c r="H69" s="139">
        <f t="shared" si="12"/>
        <v>2</v>
      </c>
    </row>
    <row r="70" spans="1:8" ht="15.75" customHeight="1">
      <c r="A70" s="183">
        <f>'55'!A70</f>
        <v>7</v>
      </c>
      <c r="B70" s="30" t="str">
        <f>'55'!B70</f>
        <v>Kapuas</v>
      </c>
      <c r="C70" s="31">
        <v>19</v>
      </c>
      <c r="D70" s="31">
        <v>0</v>
      </c>
      <c r="E70" s="139">
        <f t="shared" si="11"/>
        <v>19</v>
      </c>
      <c r="F70" s="31">
        <v>4</v>
      </c>
      <c r="G70" s="31">
        <v>4</v>
      </c>
      <c r="H70" s="139">
        <f t="shared" si="12"/>
        <v>8</v>
      </c>
    </row>
    <row r="71" spans="1:8" ht="15.75" customHeight="1">
      <c r="A71" s="183">
        <f>'55'!A71</f>
        <v>8</v>
      </c>
      <c r="B71" s="30" t="str">
        <f>'55'!B71</f>
        <v>Pulang Pisau</v>
      </c>
      <c r="C71" s="139">
        <v>3</v>
      </c>
      <c r="D71" s="139">
        <v>0</v>
      </c>
      <c r="E71" s="139">
        <f t="shared" si="11"/>
        <v>3</v>
      </c>
      <c r="F71" s="139">
        <v>4</v>
      </c>
      <c r="G71" s="139">
        <v>0</v>
      </c>
      <c r="H71" s="139">
        <f t="shared" si="12"/>
        <v>4</v>
      </c>
    </row>
    <row r="72" spans="1:10" ht="15.75" customHeight="1">
      <c r="A72" s="183">
        <f>'55'!A72</f>
        <v>9</v>
      </c>
      <c r="B72" s="30" t="str">
        <f>'55'!B72</f>
        <v>Gunung Mas</v>
      </c>
      <c r="C72" s="139">
        <v>2</v>
      </c>
      <c r="D72" s="139">
        <v>0</v>
      </c>
      <c r="E72" s="139">
        <f t="shared" si="11"/>
        <v>2</v>
      </c>
      <c r="F72" s="139">
        <v>0</v>
      </c>
      <c r="G72" s="139">
        <v>0</v>
      </c>
      <c r="H72" s="139">
        <f t="shared" si="12"/>
        <v>0</v>
      </c>
      <c r="I72" s="133"/>
      <c r="J72" s="133"/>
    </row>
    <row r="73" spans="1:8" ht="15.75" customHeight="1">
      <c r="A73" s="183">
        <f>'55'!A73</f>
        <v>10</v>
      </c>
      <c r="B73" s="30" t="str">
        <f>'55'!B73</f>
        <v>Barito Selatan</v>
      </c>
      <c r="C73" s="31">
        <v>9</v>
      </c>
      <c r="D73" s="31">
        <v>0</v>
      </c>
      <c r="E73" s="139">
        <f t="shared" si="11"/>
        <v>9</v>
      </c>
      <c r="F73" s="31">
        <v>4</v>
      </c>
      <c r="G73" s="31">
        <v>1</v>
      </c>
      <c r="H73" s="139">
        <f t="shared" si="12"/>
        <v>5</v>
      </c>
    </row>
    <row r="74" spans="1:8" ht="15.75" customHeight="1">
      <c r="A74" s="183">
        <f>'55'!A74</f>
        <v>11</v>
      </c>
      <c r="B74" s="30" t="str">
        <f>'55'!B74</f>
        <v>Barito Timur</v>
      </c>
      <c r="C74" s="139">
        <v>2</v>
      </c>
      <c r="D74" s="139">
        <v>0</v>
      </c>
      <c r="E74" s="139">
        <f t="shared" si="11"/>
        <v>2</v>
      </c>
      <c r="F74" s="139">
        <v>3</v>
      </c>
      <c r="G74" s="139">
        <v>0</v>
      </c>
      <c r="H74" s="139">
        <f t="shared" si="12"/>
        <v>3</v>
      </c>
    </row>
    <row r="75" spans="1:8" ht="15.75" customHeight="1">
      <c r="A75" s="183">
        <f>'55'!A75</f>
        <v>12</v>
      </c>
      <c r="B75" s="30" t="str">
        <f>'55'!B75</f>
        <v>Barito Utara</v>
      </c>
      <c r="C75" s="31">
        <v>6</v>
      </c>
      <c r="D75" s="31">
        <v>3</v>
      </c>
      <c r="E75" s="139">
        <f t="shared" si="11"/>
        <v>9</v>
      </c>
      <c r="F75" s="139">
        <v>0</v>
      </c>
      <c r="G75" s="139">
        <v>3</v>
      </c>
      <c r="H75" s="139">
        <f t="shared" si="12"/>
        <v>3</v>
      </c>
    </row>
    <row r="76" spans="1:8" ht="15.75" customHeight="1">
      <c r="A76" s="183">
        <f>'55'!A76</f>
        <v>13</v>
      </c>
      <c r="B76" s="30" t="str">
        <f>'55'!B76</f>
        <v>Murung Raya</v>
      </c>
      <c r="C76" s="31">
        <v>9</v>
      </c>
      <c r="D76" s="31">
        <v>0</v>
      </c>
      <c r="E76" s="139">
        <f t="shared" si="11"/>
        <v>9</v>
      </c>
      <c r="F76" s="31">
        <v>0</v>
      </c>
      <c r="G76" s="31">
        <v>1</v>
      </c>
      <c r="H76" s="139">
        <f t="shared" si="12"/>
        <v>1</v>
      </c>
    </row>
    <row r="77" spans="1:8" ht="15.75" customHeight="1">
      <c r="A77" s="183">
        <f>'55'!A77</f>
        <v>14</v>
      </c>
      <c r="B77" s="30" t="str">
        <f>'55'!B77</f>
        <v>Palangka Raya</v>
      </c>
      <c r="C77" s="31">
        <v>13</v>
      </c>
      <c r="D77" s="31">
        <v>0</v>
      </c>
      <c r="E77" s="139">
        <f t="shared" si="11"/>
        <v>13</v>
      </c>
      <c r="F77" s="31">
        <v>2</v>
      </c>
      <c r="G77" s="31">
        <v>0</v>
      </c>
      <c r="H77" s="139">
        <f t="shared" si="12"/>
        <v>2</v>
      </c>
    </row>
    <row r="78" spans="1:8" ht="15.75" customHeight="1">
      <c r="A78" s="183">
        <f>'55'!A78</f>
        <v>15</v>
      </c>
      <c r="B78" s="30" t="str">
        <f>'55'!B78</f>
        <v>Provinsi Kalimantan Tengah</v>
      </c>
      <c r="C78" s="31">
        <v>8</v>
      </c>
      <c r="D78" s="31">
        <v>0</v>
      </c>
      <c r="E78" s="139">
        <f t="shared" si="11"/>
        <v>8</v>
      </c>
      <c r="F78" s="31">
        <v>0</v>
      </c>
      <c r="G78" s="31">
        <v>0</v>
      </c>
      <c r="H78" s="139">
        <f t="shared" si="12"/>
        <v>0</v>
      </c>
    </row>
    <row r="79" spans="1:8" ht="15.75" customHeight="1">
      <c r="A79" s="232"/>
      <c r="B79" s="35"/>
      <c r="C79" s="36"/>
      <c r="D79" s="36"/>
      <c r="E79" s="164"/>
      <c r="F79" s="36"/>
      <c r="G79" s="36"/>
      <c r="H79" s="164"/>
    </row>
    <row r="80" spans="1:8" ht="19.5" customHeight="1">
      <c r="A80" s="228" t="s">
        <v>859</v>
      </c>
      <c r="B80" s="108"/>
      <c r="C80" s="109">
        <f>C26+C46+C47+C53+C63</f>
        <v>226</v>
      </c>
      <c r="D80" s="109">
        <f>D26+D46+D47+D53+D63</f>
        <v>16</v>
      </c>
      <c r="E80" s="109">
        <f>E26+E46+E47+E53+E63</f>
        <v>242</v>
      </c>
      <c r="F80" s="109">
        <f>F26+F46+F47+F53+F63</f>
        <v>146</v>
      </c>
      <c r="G80" s="109">
        <f>G26+G46+G47+G53+G63</f>
        <v>111</v>
      </c>
      <c r="H80" s="109">
        <f>H26+H46+H47+H53+H63</f>
        <v>257</v>
      </c>
    </row>
    <row r="81" spans="1:8" ht="19.5" customHeight="1" thickBot="1">
      <c r="A81" s="243" t="s">
        <v>94</v>
      </c>
      <c r="B81" s="39"/>
      <c r="C81" s="332">
        <f>C80/1!G27*100000</f>
        <v>10.34955863253938</v>
      </c>
      <c r="D81" s="333"/>
      <c r="E81" s="333"/>
      <c r="F81" s="332">
        <f>F80/1!G27*100000</f>
        <v>6.685998054649333</v>
      </c>
      <c r="G81" s="333"/>
      <c r="H81" s="333"/>
    </row>
    <row r="82" ht="15">
      <c r="A82" s="133" t="s">
        <v>957</v>
      </c>
    </row>
    <row r="83" ht="15">
      <c r="B83" s="14" t="s">
        <v>958</v>
      </c>
    </row>
    <row r="84" ht="15">
      <c r="B84" s="14" t="s">
        <v>961</v>
      </c>
    </row>
    <row r="85" ht="15">
      <c r="B85" s="14" t="s">
        <v>960</v>
      </c>
    </row>
    <row r="86" ht="15">
      <c r="B86" s="14" t="s">
        <v>959</v>
      </c>
    </row>
    <row r="87" ht="18">
      <c r="A87" s="133" t="s">
        <v>521</v>
      </c>
    </row>
    <row r="88" ht="15">
      <c r="B88" s="14" t="s">
        <v>950</v>
      </c>
    </row>
  </sheetData>
  <mergeCells count="5">
    <mergeCell ref="A3:H3"/>
    <mergeCell ref="A4:H4"/>
    <mergeCell ref="A5:H5"/>
    <mergeCell ref="A7:A8"/>
    <mergeCell ref="B7:B8"/>
  </mergeCells>
  <printOptions horizontalCentered="1"/>
  <pageMargins left="0.7086614173228347" right="0.11811023622047245" top="0.7874015748031497" bottom="0.7874015748031497" header="0" footer="0.7874015748031497"/>
  <pageSetup horizontalDpi="300" verticalDpi="300" orientation="portrait" paperSize="9" scale="54" r:id="rId2"/>
  <headerFooter alignWithMargins="0">
    <oddFooter>&amp;C115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31"/>
  <sheetViews>
    <sheetView zoomScale="75" zoomScaleNormal="75" workbookViewId="0" topLeftCell="A1">
      <selection activeCell="M24" sqref="M24"/>
    </sheetView>
  </sheetViews>
  <sheetFormatPr defaultColWidth="9.140625" defaultRowHeight="12.75"/>
  <cols>
    <col min="1" max="1" width="5.7109375" style="81" customWidth="1"/>
    <col min="2" max="2" width="21.421875" style="81" customWidth="1"/>
    <col min="3" max="4" width="15.7109375" style="81" customWidth="1"/>
    <col min="5" max="5" width="8.8515625" style="81" customWidth="1"/>
    <col min="6" max="7" width="15.7109375" style="81" customWidth="1"/>
    <col min="8" max="8" width="9.28125" style="81" customWidth="1"/>
    <col min="9" max="10" width="15.7109375" style="81" customWidth="1"/>
    <col min="11" max="11" width="8.7109375" style="81" customWidth="1"/>
    <col min="12" max="16384" width="9.140625" style="81" customWidth="1"/>
  </cols>
  <sheetData>
    <row r="1" spans="1:4" ht="21" customHeight="1">
      <c r="A1" s="583" t="s">
        <v>284</v>
      </c>
      <c r="B1" s="584"/>
      <c r="C1" s="80"/>
      <c r="D1" s="80"/>
    </row>
    <row r="2" spans="1:11" ht="18.75" customHeight="1">
      <c r="A2" s="585" t="s">
        <v>502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</row>
    <row r="3" spans="1:11" ht="18.75" customHeight="1">
      <c r="A3" s="642" t="str">
        <f>1!A5</f>
        <v>PROVINSI KALIMANTAN TENGAH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</row>
    <row r="4" spans="1:11" ht="15">
      <c r="A4" s="642" t="str">
        <f>1!A6</f>
        <v>TAHUN 2009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</row>
    <row r="5" spans="1:11" ht="1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.75" thickBo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5" customHeight="1">
      <c r="A7" s="615" t="s">
        <v>2</v>
      </c>
      <c r="B7" s="615" t="s">
        <v>844</v>
      </c>
      <c r="C7" s="582" t="s">
        <v>434</v>
      </c>
      <c r="D7" s="586"/>
      <c r="E7" s="586"/>
      <c r="F7" s="586"/>
      <c r="G7" s="586"/>
      <c r="H7" s="586"/>
      <c r="I7" s="586"/>
      <c r="J7" s="586"/>
      <c r="K7" s="587"/>
    </row>
    <row r="8" spans="1:11" ht="15" customHeight="1">
      <c r="A8" s="615"/>
      <c r="B8" s="615"/>
      <c r="C8" s="572" t="s">
        <v>254</v>
      </c>
      <c r="D8" s="573"/>
      <c r="E8" s="574"/>
      <c r="F8" s="572" t="s">
        <v>255</v>
      </c>
      <c r="G8" s="573"/>
      <c r="H8" s="574"/>
      <c r="I8" s="572" t="s">
        <v>436</v>
      </c>
      <c r="J8" s="575"/>
      <c r="K8" s="576"/>
    </row>
    <row r="9" spans="1:11" ht="15" customHeight="1">
      <c r="A9" s="616"/>
      <c r="B9" s="616"/>
      <c r="C9" s="84" t="s">
        <v>21</v>
      </c>
      <c r="D9" s="92" t="s">
        <v>435</v>
      </c>
      <c r="E9" s="84" t="s">
        <v>27</v>
      </c>
      <c r="F9" s="84" t="s">
        <v>21</v>
      </c>
      <c r="G9" s="92" t="s">
        <v>435</v>
      </c>
      <c r="H9" s="84" t="s">
        <v>27</v>
      </c>
      <c r="I9" s="84" t="s">
        <v>21</v>
      </c>
      <c r="J9" s="92" t="s">
        <v>435</v>
      </c>
      <c r="K9" s="84" t="s">
        <v>27</v>
      </c>
    </row>
    <row r="10" spans="1:11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</row>
    <row r="11" spans="1:11" ht="15">
      <c r="A11" s="487">
        <f>1!A12</f>
        <v>1</v>
      </c>
      <c r="B11" s="85" t="str">
        <f>1!B12</f>
        <v>Kotawaringin Barat</v>
      </c>
      <c r="C11" s="612">
        <v>98090</v>
      </c>
      <c r="D11" s="612" t="s">
        <v>694</v>
      </c>
      <c r="E11" s="612" t="s">
        <v>694</v>
      </c>
      <c r="F11" s="612">
        <v>88257</v>
      </c>
      <c r="G11" s="612" t="s">
        <v>694</v>
      </c>
      <c r="H11" s="612" t="s">
        <v>694</v>
      </c>
      <c r="I11" s="612">
        <f>C11+F11</f>
        <v>186347</v>
      </c>
      <c r="J11" s="612" t="s">
        <v>694</v>
      </c>
      <c r="K11" s="612" t="s">
        <v>694</v>
      </c>
    </row>
    <row r="12" spans="1:11" ht="15">
      <c r="A12" s="487">
        <f>1!A13</f>
        <v>2</v>
      </c>
      <c r="B12" s="487" t="str">
        <f>1!B13</f>
        <v>Lamandau</v>
      </c>
      <c r="C12" s="612" t="s">
        <v>694</v>
      </c>
      <c r="D12" s="612" t="s">
        <v>694</v>
      </c>
      <c r="E12" s="612" t="s">
        <v>694</v>
      </c>
      <c r="F12" s="612" t="s">
        <v>694</v>
      </c>
      <c r="G12" s="612" t="s">
        <v>694</v>
      </c>
      <c r="H12" s="612" t="s">
        <v>694</v>
      </c>
      <c r="I12" s="612" t="s">
        <v>694</v>
      </c>
      <c r="J12" s="612" t="s">
        <v>694</v>
      </c>
      <c r="K12" s="612" t="s">
        <v>694</v>
      </c>
    </row>
    <row r="13" spans="1:11" ht="15">
      <c r="A13" s="487">
        <f>1!A14</f>
        <v>3</v>
      </c>
      <c r="B13" s="85" t="str">
        <f>1!B14</f>
        <v>Sukamara</v>
      </c>
      <c r="C13" s="613">
        <v>15194</v>
      </c>
      <c r="D13" s="613">
        <v>14860</v>
      </c>
      <c r="E13" s="614">
        <f aca="true" t="shared" si="0" ref="E13:E22">D13/C13*100</f>
        <v>97.80176385415295</v>
      </c>
      <c r="F13" s="613">
        <v>14294</v>
      </c>
      <c r="G13" s="613">
        <v>13279</v>
      </c>
      <c r="H13" s="614">
        <f aca="true" t="shared" si="1" ref="H13:H22">G13/F13*100</f>
        <v>92.89911851126347</v>
      </c>
      <c r="I13" s="613">
        <f aca="true" t="shared" si="2" ref="I13:I22">C13+F13</f>
        <v>29488</v>
      </c>
      <c r="J13" s="613">
        <f aca="true" t="shared" si="3" ref="J13:J22">D13+G13</f>
        <v>28139</v>
      </c>
      <c r="K13" s="614">
        <f aca="true" t="shared" si="4" ref="K13:K22">J13/I13*100</f>
        <v>95.42525773195877</v>
      </c>
    </row>
    <row r="14" spans="1:11" ht="15">
      <c r="A14" s="487">
        <f>1!A15</f>
        <v>4</v>
      </c>
      <c r="B14" s="487" t="str">
        <f>1!B15</f>
        <v>Kotawaringin Timur</v>
      </c>
      <c r="C14" s="612">
        <v>2128</v>
      </c>
      <c r="D14" s="612">
        <v>896</v>
      </c>
      <c r="E14" s="618">
        <f t="shared" si="0"/>
        <v>42.10526315789473</v>
      </c>
      <c r="F14" s="612">
        <v>2457</v>
      </c>
      <c r="G14" s="612">
        <v>1315</v>
      </c>
      <c r="H14" s="618">
        <f t="shared" si="1"/>
        <v>53.52055352055351</v>
      </c>
      <c r="I14" s="612">
        <f t="shared" si="2"/>
        <v>4585</v>
      </c>
      <c r="J14" s="612">
        <f t="shared" si="3"/>
        <v>2211</v>
      </c>
      <c r="K14" s="618">
        <f t="shared" si="4"/>
        <v>48.22246455834242</v>
      </c>
    </row>
    <row r="15" spans="1:11" ht="15">
      <c r="A15" s="487">
        <f>1!A16</f>
        <v>5</v>
      </c>
      <c r="B15" s="85" t="str">
        <f>1!B16</f>
        <v>Seruyan</v>
      </c>
      <c r="C15" s="612" t="s">
        <v>694</v>
      </c>
      <c r="D15" s="612" t="s">
        <v>694</v>
      </c>
      <c r="E15" s="612" t="s">
        <v>694</v>
      </c>
      <c r="F15" s="612" t="s">
        <v>694</v>
      </c>
      <c r="G15" s="612" t="s">
        <v>694</v>
      </c>
      <c r="H15" s="612" t="s">
        <v>694</v>
      </c>
      <c r="I15" s="612" t="s">
        <v>694</v>
      </c>
      <c r="J15" s="612" t="s">
        <v>694</v>
      </c>
      <c r="K15" s="612" t="s">
        <v>694</v>
      </c>
    </row>
    <row r="16" spans="1:11" ht="15">
      <c r="A16" s="487">
        <f>1!A17</f>
        <v>6</v>
      </c>
      <c r="B16" s="85" t="str">
        <f>1!B17</f>
        <v>Katingan</v>
      </c>
      <c r="C16" s="612" t="s">
        <v>694</v>
      </c>
      <c r="D16" s="612" t="s">
        <v>694</v>
      </c>
      <c r="E16" s="612" t="s">
        <v>694</v>
      </c>
      <c r="F16" s="612" t="s">
        <v>694</v>
      </c>
      <c r="G16" s="612" t="s">
        <v>694</v>
      </c>
      <c r="H16" s="612" t="s">
        <v>694</v>
      </c>
      <c r="I16" s="612" t="s">
        <v>694</v>
      </c>
      <c r="J16" s="612" t="s">
        <v>694</v>
      </c>
      <c r="K16" s="612" t="s">
        <v>694</v>
      </c>
    </row>
    <row r="17" spans="1:11" ht="15">
      <c r="A17" s="487">
        <f>1!A18</f>
        <v>7</v>
      </c>
      <c r="B17" s="85" t="str">
        <f>1!B18</f>
        <v>Kapuas</v>
      </c>
      <c r="C17" s="613">
        <v>171655</v>
      </c>
      <c r="D17" s="612">
        <v>0</v>
      </c>
      <c r="E17" s="618">
        <f t="shared" si="0"/>
        <v>0</v>
      </c>
      <c r="F17" s="612">
        <v>168169</v>
      </c>
      <c r="G17" s="612">
        <v>0</v>
      </c>
      <c r="H17" s="618">
        <f t="shared" si="1"/>
        <v>0</v>
      </c>
      <c r="I17" s="612">
        <f t="shared" si="2"/>
        <v>339824</v>
      </c>
      <c r="J17" s="612">
        <f t="shared" si="3"/>
        <v>0</v>
      </c>
      <c r="K17" s="614">
        <f t="shared" si="4"/>
        <v>0</v>
      </c>
    </row>
    <row r="18" spans="1:11" ht="15">
      <c r="A18" s="487">
        <f>1!A19</f>
        <v>8</v>
      </c>
      <c r="B18" s="487" t="str">
        <f>1!B19</f>
        <v>Pulang Pisau</v>
      </c>
      <c r="C18" s="612" t="s">
        <v>694</v>
      </c>
      <c r="D18" s="612" t="s">
        <v>694</v>
      </c>
      <c r="E18" s="612" t="s">
        <v>694</v>
      </c>
      <c r="F18" s="612" t="s">
        <v>694</v>
      </c>
      <c r="G18" s="612" t="s">
        <v>694</v>
      </c>
      <c r="H18" s="612" t="s">
        <v>694</v>
      </c>
      <c r="I18" s="612" t="s">
        <v>694</v>
      </c>
      <c r="J18" s="612" t="s">
        <v>694</v>
      </c>
      <c r="K18" s="612" t="s">
        <v>694</v>
      </c>
    </row>
    <row r="19" spans="1:11" ht="15">
      <c r="A19" s="487">
        <f>1!A20</f>
        <v>9</v>
      </c>
      <c r="B19" s="85" t="str">
        <f>1!B20</f>
        <v>Gunung Mas</v>
      </c>
      <c r="C19" s="613">
        <v>25641</v>
      </c>
      <c r="D19" s="613">
        <v>22319</v>
      </c>
      <c r="E19" s="614">
        <f t="shared" si="0"/>
        <v>87.04418704418705</v>
      </c>
      <c r="F19" s="613">
        <v>24663</v>
      </c>
      <c r="G19" s="613">
        <v>21530</v>
      </c>
      <c r="H19" s="614">
        <f t="shared" si="1"/>
        <v>87.29676032923813</v>
      </c>
      <c r="I19" s="613">
        <f t="shared" si="2"/>
        <v>50304</v>
      </c>
      <c r="J19" s="613">
        <f t="shared" si="3"/>
        <v>43849</v>
      </c>
      <c r="K19" s="614">
        <f t="shared" si="4"/>
        <v>87.16801844783714</v>
      </c>
    </row>
    <row r="20" spans="1:11" ht="15">
      <c r="A20" s="487">
        <f>1!A21</f>
        <v>10</v>
      </c>
      <c r="B20" s="487" t="str">
        <f>1!B21</f>
        <v>Barito Selatan</v>
      </c>
      <c r="C20" s="612">
        <v>48293</v>
      </c>
      <c r="D20" s="612">
        <v>47990</v>
      </c>
      <c r="E20" s="618">
        <f t="shared" si="0"/>
        <v>99.37257987700082</v>
      </c>
      <c r="F20" s="612">
        <v>47471</v>
      </c>
      <c r="G20" s="612">
        <v>47042</v>
      </c>
      <c r="H20" s="618">
        <f t="shared" si="1"/>
        <v>99.09629036675022</v>
      </c>
      <c r="I20" s="612">
        <f t="shared" si="2"/>
        <v>95764</v>
      </c>
      <c r="J20" s="612">
        <f t="shared" si="3"/>
        <v>95032</v>
      </c>
      <c r="K20" s="618">
        <f t="shared" si="4"/>
        <v>99.23562090138257</v>
      </c>
    </row>
    <row r="21" spans="1:11" ht="15">
      <c r="A21" s="487">
        <f>1!A22</f>
        <v>11</v>
      </c>
      <c r="B21" s="487" t="str">
        <f>1!B22</f>
        <v>Barito Timur</v>
      </c>
      <c r="C21" s="612" t="s">
        <v>694</v>
      </c>
      <c r="D21" s="612" t="s">
        <v>694</v>
      </c>
      <c r="E21" s="612" t="s">
        <v>694</v>
      </c>
      <c r="F21" s="612" t="s">
        <v>694</v>
      </c>
      <c r="G21" s="612" t="s">
        <v>694</v>
      </c>
      <c r="H21" s="612" t="s">
        <v>694</v>
      </c>
      <c r="I21" s="612" t="s">
        <v>694</v>
      </c>
      <c r="J21" s="612" t="s">
        <v>694</v>
      </c>
      <c r="K21" s="612" t="s">
        <v>694</v>
      </c>
    </row>
    <row r="22" spans="1:11" ht="15">
      <c r="A22" s="487">
        <f>1!A23</f>
        <v>12</v>
      </c>
      <c r="B22" s="85" t="str">
        <f>1!B23</f>
        <v>Barito Utara</v>
      </c>
      <c r="C22" s="612">
        <v>47735</v>
      </c>
      <c r="D22" s="612">
        <v>192</v>
      </c>
      <c r="E22" s="618">
        <f t="shared" si="0"/>
        <v>0.4022205928563947</v>
      </c>
      <c r="F22" s="612">
        <v>47296</v>
      </c>
      <c r="G22" s="613">
        <v>86</v>
      </c>
      <c r="H22" s="614">
        <f t="shared" si="1"/>
        <v>0.18183355886332883</v>
      </c>
      <c r="I22" s="613">
        <f t="shared" si="2"/>
        <v>95031</v>
      </c>
      <c r="J22" s="613">
        <f t="shared" si="3"/>
        <v>278</v>
      </c>
      <c r="K22" s="614">
        <f t="shared" si="4"/>
        <v>0.2925361197924888</v>
      </c>
    </row>
    <row r="23" spans="1:11" ht="15">
      <c r="A23" s="487">
        <f>1!A24</f>
        <v>13</v>
      </c>
      <c r="B23" s="85" t="str">
        <f>1!B24</f>
        <v>Murung Raya</v>
      </c>
      <c r="C23" s="612" t="s">
        <v>694</v>
      </c>
      <c r="D23" s="612" t="s">
        <v>694</v>
      </c>
      <c r="E23" s="612" t="s">
        <v>694</v>
      </c>
      <c r="F23" s="612" t="s">
        <v>694</v>
      </c>
      <c r="G23" s="612" t="s">
        <v>694</v>
      </c>
      <c r="H23" s="612" t="s">
        <v>694</v>
      </c>
      <c r="I23" s="612" t="s">
        <v>694</v>
      </c>
      <c r="J23" s="612" t="s">
        <v>694</v>
      </c>
      <c r="K23" s="612" t="s">
        <v>694</v>
      </c>
    </row>
    <row r="24" spans="1:11" ht="15">
      <c r="A24" s="487">
        <f>1!A25</f>
        <v>14</v>
      </c>
      <c r="B24" s="487" t="str">
        <f>1!B25</f>
        <v>Palangka Raya</v>
      </c>
      <c r="C24" s="612">
        <v>78861</v>
      </c>
      <c r="D24" s="612">
        <v>69825</v>
      </c>
      <c r="E24" s="618">
        <f>D24/C24*100</f>
        <v>88.5418648000913</v>
      </c>
      <c r="F24" s="612">
        <v>80082</v>
      </c>
      <c r="G24" s="612">
        <v>69901</v>
      </c>
      <c r="H24" s="618">
        <f>G24/F24*100</f>
        <v>87.28678104942435</v>
      </c>
      <c r="I24" s="612">
        <f>C24+F24</f>
        <v>158943</v>
      </c>
      <c r="J24" s="612">
        <f>D24+G24</f>
        <v>139726</v>
      </c>
      <c r="K24" s="618">
        <f>J24/I24*100</f>
        <v>87.90950214856899</v>
      </c>
    </row>
    <row r="25" spans="1:11" ht="15">
      <c r="A25" s="85"/>
      <c r="B25" s="85"/>
      <c r="C25" s="86"/>
      <c r="D25" s="86"/>
      <c r="E25" s="87"/>
      <c r="F25" s="88"/>
      <c r="G25" s="88"/>
      <c r="H25" s="87"/>
      <c r="I25" s="88"/>
      <c r="J25" s="88"/>
      <c r="K25" s="87"/>
    </row>
    <row r="26" spans="1:11" ht="15.75" thickBot="1">
      <c r="A26" s="588" t="s">
        <v>859</v>
      </c>
      <c r="B26" s="571"/>
      <c r="C26" s="89">
        <f>SUM(C11:C25)</f>
        <v>487597</v>
      </c>
      <c r="D26" s="89">
        <f>SUM(D11:D25)</f>
        <v>156082</v>
      </c>
      <c r="E26" s="619">
        <f>D26/C26*100</f>
        <v>32.01045125380181</v>
      </c>
      <c r="F26" s="90">
        <f>SUM(F11:F25)</f>
        <v>472689</v>
      </c>
      <c r="G26" s="90">
        <f>SUM(G11:G25)</f>
        <v>153153</v>
      </c>
      <c r="H26" s="619">
        <f>G26/F26*100</f>
        <v>32.40037318405971</v>
      </c>
      <c r="I26" s="90">
        <f>SUM(I11:I25)</f>
        <v>960286</v>
      </c>
      <c r="J26" s="90">
        <f>SUM(J11:J25)</f>
        <v>309235</v>
      </c>
      <c r="K26" s="620">
        <f>J26/I26*100</f>
        <v>32.20238553930808</v>
      </c>
    </row>
    <row r="27" spans="1:11" ht="1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4" ht="14.25" customHeight="1">
      <c r="A28" s="42" t="s">
        <v>243</v>
      </c>
      <c r="B28" s="42"/>
      <c r="C28" s="42"/>
      <c r="D28" s="79"/>
    </row>
    <row r="29" ht="15">
      <c r="J29" s="511"/>
    </row>
    <row r="31" spans="3:6" ht="15">
      <c r="C31" s="458"/>
      <c r="D31" s="458"/>
      <c r="F31" s="459"/>
    </row>
  </sheetData>
  <mergeCells count="11">
    <mergeCell ref="B7:B9"/>
    <mergeCell ref="C7:K7"/>
    <mergeCell ref="A26:B26"/>
    <mergeCell ref="C8:E8"/>
    <mergeCell ref="F8:H8"/>
    <mergeCell ref="I8:K8"/>
    <mergeCell ref="A7:A9"/>
    <mergeCell ref="A1:B1"/>
    <mergeCell ref="A2:K2"/>
    <mergeCell ref="A3:K3"/>
    <mergeCell ref="A4:K4"/>
  </mergeCells>
  <printOptions horizontalCentered="1"/>
  <pageMargins left="1.6929133858267718" right="0.9055118110236221" top="1.141732283464567" bottom="0.9055118110236221" header="0" footer="1.1811023622047245"/>
  <pageSetup fitToHeight="1" fitToWidth="1" horizontalDpi="300" verticalDpi="300" orientation="landscape" paperSize="9" scale="79" r:id="rId1"/>
  <headerFooter alignWithMargins="0">
    <oddFooter>&amp;C62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37"/>
  <dimension ref="A1:H89"/>
  <sheetViews>
    <sheetView zoomScale="75" zoomScaleNormal="75" workbookViewId="0" topLeftCell="A1">
      <selection activeCell="D70" sqref="D70"/>
    </sheetView>
  </sheetViews>
  <sheetFormatPr defaultColWidth="9.140625" defaultRowHeight="12.75"/>
  <cols>
    <col min="1" max="1" width="5.7109375" style="133" customWidth="1"/>
    <col min="2" max="2" width="35.7109375" style="14" customWidth="1"/>
    <col min="3" max="7" width="18.7109375" style="14" customWidth="1"/>
    <col min="8" max="16384" width="9.140625" style="14" customWidth="1"/>
  </cols>
  <sheetData>
    <row r="1" spans="1:4" ht="15">
      <c r="A1" s="132" t="s">
        <v>431</v>
      </c>
      <c r="D1" s="14" t="s">
        <v>1</v>
      </c>
    </row>
    <row r="3" spans="1:7" ht="15">
      <c r="A3" s="641" t="s">
        <v>110</v>
      </c>
      <c r="B3" s="641"/>
      <c r="C3" s="641"/>
      <c r="D3" s="641"/>
      <c r="E3" s="641"/>
      <c r="F3" s="641"/>
      <c r="G3" s="641"/>
    </row>
    <row r="4" spans="1:7" ht="15">
      <c r="A4" s="642" t="str">
        <f>1!A5</f>
        <v>PROVINSI KALIMANTAN TENGAH</v>
      </c>
      <c r="B4" s="642"/>
      <c r="C4" s="642"/>
      <c r="D4" s="642"/>
      <c r="E4" s="642"/>
      <c r="F4" s="642"/>
      <c r="G4" s="642"/>
    </row>
    <row r="5" spans="1:7" ht="15">
      <c r="A5" s="642" t="str">
        <f>1!A6</f>
        <v>TAHUN 2009</v>
      </c>
      <c r="B5" s="642"/>
      <c r="C5" s="642"/>
      <c r="D5" s="642"/>
      <c r="E5" s="642"/>
      <c r="F5" s="642"/>
      <c r="G5" s="642"/>
    </row>
    <row r="6" spans="1:7" ht="15.75" thickBot="1">
      <c r="A6" s="114"/>
      <c r="B6" s="9"/>
      <c r="C6" s="9"/>
      <c r="D6" s="9"/>
      <c r="E6" s="9"/>
      <c r="F6" s="9"/>
      <c r="G6" s="9"/>
    </row>
    <row r="7" spans="1:7" ht="19.5" customHeight="1">
      <c r="A7" s="637" t="s">
        <v>2</v>
      </c>
      <c r="B7" s="634" t="s">
        <v>53</v>
      </c>
      <c r="C7" s="45" t="s">
        <v>104</v>
      </c>
      <c r="D7" s="46"/>
      <c r="E7" s="46"/>
      <c r="F7" s="46"/>
      <c r="G7" s="47"/>
    </row>
    <row r="8" spans="1:7" ht="19.5" customHeight="1">
      <c r="A8" s="638"/>
      <c r="B8" s="635"/>
      <c r="C8" s="49" t="s">
        <v>105</v>
      </c>
      <c r="D8" s="49" t="s">
        <v>106</v>
      </c>
      <c r="E8" s="49" t="s">
        <v>107</v>
      </c>
      <c r="F8" s="49" t="s">
        <v>108</v>
      </c>
      <c r="G8" s="25" t="s">
        <v>109</v>
      </c>
    </row>
    <row r="9" spans="1:7" s="18" customFormat="1" ht="15">
      <c r="A9" s="59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</row>
    <row r="10" spans="1:7" ht="15" customHeight="1">
      <c r="A10" s="183" t="s">
        <v>279</v>
      </c>
      <c r="B10" s="30" t="s">
        <v>886</v>
      </c>
      <c r="C10" s="230"/>
      <c r="D10" s="31"/>
      <c r="E10" s="31"/>
      <c r="F10" s="31"/>
      <c r="G10" s="139"/>
    </row>
    <row r="11" spans="1:7" ht="15" customHeight="1">
      <c r="A11" s="183">
        <f>'55'!A11</f>
        <v>1</v>
      </c>
      <c r="B11" s="138" t="str">
        <f>'55'!B11</f>
        <v>Kotawaringin Barat</v>
      </c>
      <c r="C11" s="230">
        <v>13</v>
      </c>
      <c r="D11" s="31">
        <v>0</v>
      </c>
      <c r="E11" s="31">
        <v>0</v>
      </c>
      <c r="F11" s="31">
        <v>0</v>
      </c>
      <c r="G11" s="139">
        <f>SUM(C11:F11)</f>
        <v>13</v>
      </c>
    </row>
    <row r="12" spans="1:7" ht="15" customHeight="1">
      <c r="A12" s="183">
        <f>'55'!A12</f>
        <v>2</v>
      </c>
      <c r="B12" s="138" t="str">
        <f>'55'!B12</f>
        <v>Lamandau</v>
      </c>
      <c r="C12" s="230">
        <v>1</v>
      </c>
      <c r="D12" s="31">
        <v>0</v>
      </c>
      <c r="E12" s="31">
        <v>0</v>
      </c>
      <c r="F12" s="31">
        <v>0</v>
      </c>
      <c r="G12" s="139">
        <f>SUM(C12:F12)</f>
        <v>1</v>
      </c>
    </row>
    <row r="13" spans="1:7" ht="15" customHeight="1">
      <c r="A13" s="183">
        <f>'55'!A13</f>
        <v>3</v>
      </c>
      <c r="B13" s="138" t="str">
        <f>'55'!B13</f>
        <v>Sukamara</v>
      </c>
      <c r="C13" s="230">
        <v>3</v>
      </c>
      <c r="D13" s="31">
        <v>0</v>
      </c>
      <c r="E13" s="31">
        <v>0</v>
      </c>
      <c r="F13" s="31">
        <v>0</v>
      </c>
      <c r="G13" s="139">
        <f>SUM(C13:F13)</f>
        <v>3</v>
      </c>
    </row>
    <row r="14" spans="1:7" ht="15" customHeight="1">
      <c r="A14" s="183">
        <f>'55'!A14</f>
        <v>4</v>
      </c>
      <c r="B14" s="138" t="str">
        <f>'55'!B14</f>
        <v>Kotawaringin Timur</v>
      </c>
      <c r="C14" s="230">
        <v>9</v>
      </c>
      <c r="D14" s="31">
        <v>0</v>
      </c>
      <c r="E14" s="31">
        <v>0</v>
      </c>
      <c r="F14" s="31">
        <v>0</v>
      </c>
      <c r="G14" s="139">
        <f aca="true" t="shared" si="0" ref="G14:G23">SUM(C14:F14)</f>
        <v>9</v>
      </c>
    </row>
    <row r="15" spans="1:8" ht="15" customHeight="1">
      <c r="A15" s="183">
        <f>'55'!A15</f>
        <v>5</v>
      </c>
      <c r="B15" s="138" t="str">
        <f>'55'!B15</f>
        <v>Seruyan</v>
      </c>
      <c r="C15" s="230">
        <v>3</v>
      </c>
      <c r="D15" s="139">
        <v>0</v>
      </c>
      <c r="E15" s="139">
        <v>0</v>
      </c>
      <c r="F15" s="139">
        <v>1</v>
      </c>
      <c r="G15" s="139">
        <f t="shared" si="0"/>
        <v>4</v>
      </c>
      <c r="H15" s="133"/>
    </row>
    <row r="16" spans="1:7" ht="15" customHeight="1">
      <c r="A16" s="183">
        <f>'55'!A16</f>
        <v>6</v>
      </c>
      <c r="B16" s="138" t="str">
        <f>'55'!B16</f>
        <v>Katingan</v>
      </c>
      <c r="C16" s="230">
        <v>1</v>
      </c>
      <c r="D16" s="31">
        <v>0</v>
      </c>
      <c r="E16" s="31">
        <v>0</v>
      </c>
      <c r="F16" s="31">
        <v>0</v>
      </c>
      <c r="G16" s="139">
        <f t="shared" si="0"/>
        <v>1</v>
      </c>
    </row>
    <row r="17" spans="1:7" ht="15" customHeight="1">
      <c r="A17" s="183">
        <f>'55'!A17</f>
        <v>7</v>
      </c>
      <c r="B17" s="138" t="str">
        <f>'55'!B17</f>
        <v>Kapuas</v>
      </c>
      <c r="C17" s="230">
        <v>10</v>
      </c>
      <c r="D17" s="139">
        <v>1</v>
      </c>
      <c r="E17" s="139">
        <v>0</v>
      </c>
      <c r="F17" s="139">
        <v>0</v>
      </c>
      <c r="G17" s="139">
        <f t="shared" si="0"/>
        <v>11</v>
      </c>
    </row>
    <row r="18" spans="1:7" ht="15" customHeight="1">
      <c r="A18" s="183">
        <f>'55'!A18</f>
        <v>8</v>
      </c>
      <c r="B18" s="138" t="str">
        <f>'55'!B18</f>
        <v>Pulang Pisau</v>
      </c>
      <c r="C18" s="230">
        <v>3</v>
      </c>
      <c r="D18" s="139">
        <v>0</v>
      </c>
      <c r="E18" s="139">
        <v>0</v>
      </c>
      <c r="F18" s="139">
        <v>0</v>
      </c>
      <c r="G18" s="139">
        <f t="shared" si="0"/>
        <v>3</v>
      </c>
    </row>
    <row r="19" spans="1:7" ht="15" customHeight="1">
      <c r="A19" s="183">
        <f>'55'!A19</f>
        <v>9</v>
      </c>
      <c r="B19" s="138" t="str">
        <f>'55'!B19</f>
        <v>Gunung Mas</v>
      </c>
      <c r="C19" s="230">
        <v>0</v>
      </c>
      <c r="D19" s="31">
        <v>0</v>
      </c>
      <c r="E19" s="31">
        <v>0</v>
      </c>
      <c r="F19" s="31">
        <v>0</v>
      </c>
      <c r="G19" s="139">
        <f t="shared" si="0"/>
        <v>0</v>
      </c>
    </row>
    <row r="20" spans="1:7" ht="15" customHeight="1">
      <c r="A20" s="183">
        <f>'55'!A20</f>
        <v>10</v>
      </c>
      <c r="B20" s="138" t="str">
        <f>'55'!B20</f>
        <v>Barito Selatan</v>
      </c>
      <c r="C20" s="230">
        <v>7</v>
      </c>
      <c r="D20" s="139">
        <v>0</v>
      </c>
      <c r="E20" s="139">
        <v>0</v>
      </c>
      <c r="F20" s="139">
        <v>0</v>
      </c>
      <c r="G20" s="139">
        <f t="shared" si="0"/>
        <v>7</v>
      </c>
    </row>
    <row r="21" spans="1:7" ht="15" customHeight="1">
      <c r="A21" s="183">
        <f>'55'!A21</f>
        <v>11</v>
      </c>
      <c r="B21" s="138" t="str">
        <f>'55'!B21</f>
        <v>Barito Timur</v>
      </c>
      <c r="C21" s="230">
        <v>9</v>
      </c>
      <c r="D21" s="139">
        <v>0</v>
      </c>
      <c r="E21" s="139">
        <v>0</v>
      </c>
      <c r="F21" s="139">
        <v>0</v>
      </c>
      <c r="G21" s="139">
        <f t="shared" si="0"/>
        <v>9</v>
      </c>
    </row>
    <row r="22" spans="1:7" ht="15" customHeight="1">
      <c r="A22" s="183">
        <f>'55'!A22</f>
        <v>12</v>
      </c>
      <c r="B22" s="138" t="str">
        <f>'55'!B22</f>
        <v>Barito Utara</v>
      </c>
      <c r="C22" s="230">
        <v>5</v>
      </c>
      <c r="D22" s="139">
        <v>0</v>
      </c>
      <c r="E22" s="139">
        <v>0</v>
      </c>
      <c r="F22" s="139">
        <v>0</v>
      </c>
      <c r="G22" s="139">
        <f t="shared" si="0"/>
        <v>5</v>
      </c>
    </row>
    <row r="23" spans="1:7" ht="15" customHeight="1">
      <c r="A23" s="183">
        <f>'55'!A23</f>
        <v>13</v>
      </c>
      <c r="B23" s="138" t="str">
        <f>'55'!B23</f>
        <v>Murung Raya</v>
      </c>
      <c r="C23" s="230">
        <v>6</v>
      </c>
      <c r="D23" s="31">
        <v>0</v>
      </c>
      <c r="E23" s="31">
        <v>0</v>
      </c>
      <c r="F23" s="31">
        <v>0</v>
      </c>
      <c r="G23" s="139">
        <f t="shared" si="0"/>
        <v>6</v>
      </c>
    </row>
    <row r="24" spans="1:7" ht="15" customHeight="1">
      <c r="A24" s="183">
        <f>'55'!A24</f>
        <v>14</v>
      </c>
      <c r="B24" s="138" t="str">
        <f>'55'!B24</f>
        <v>Palangka Raya</v>
      </c>
      <c r="C24" s="230">
        <v>11</v>
      </c>
      <c r="D24" s="31">
        <v>0</v>
      </c>
      <c r="E24" s="31">
        <v>0</v>
      </c>
      <c r="F24" s="31">
        <v>0</v>
      </c>
      <c r="G24" s="139">
        <f>SUM(C24:F24)</f>
        <v>11</v>
      </c>
    </row>
    <row r="25" spans="1:7" ht="15" customHeight="1">
      <c r="A25" s="232"/>
      <c r="B25" s="158"/>
      <c r="C25" s="233"/>
      <c r="D25" s="36"/>
      <c r="E25" s="36"/>
      <c r="F25" s="36"/>
      <c r="G25" s="164">
        <f>SUM(C25:F25)</f>
        <v>0</v>
      </c>
    </row>
    <row r="26" spans="1:7" ht="19.5" customHeight="1">
      <c r="A26" s="138" t="s">
        <v>62</v>
      </c>
      <c r="B26" s="138"/>
      <c r="C26" s="139">
        <f>SUM(C10:C25)</f>
        <v>81</v>
      </c>
      <c r="D26" s="139">
        <f>SUM(D10:D25)</f>
        <v>1</v>
      </c>
      <c r="E26" s="139">
        <f>SUM(E10:E25)</f>
        <v>0</v>
      </c>
      <c r="F26" s="139">
        <f>SUM(F10:F25)</f>
        <v>1</v>
      </c>
      <c r="G26" s="139">
        <f>SUM(G10:G25)</f>
        <v>83</v>
      </c>
    </row>
    <row r="27" spans="1:7" ht="15" customHeight="1">
      <c r="A27" s="142" t="s">
        <v>871</v>
      </c>
      <c r="B27" s="142" t="s">
        <v>428</v>
      </c>
      <c r="C27" s="140"/>
      <c r="D27" s="196"/>
      <c r="E27" s="196"/>
      <c r="F27" s="196"/>
      <c r="G27" s="140">
        <f>SUM(C27:F27)</f>
        <v>0</v>
      </c>
    </row>
    <row r="28" spans="1:7" ht="15" customHeight="1">
      <c r="A28" s="138">
        <f>'55'!A28</f>
        <v>1</v>
      </c>
      <c r="B28" s="138" t="str">
        <f>'55'!B28</f>
        <v>Dr. St. Imanuddin</v>
      </c>
      <c r="C28" s="139">
        <v>10</v>
      </c>
      <c r="D28" s="31">
        <v>5</v>
      </c>
      <c r="E28" s="31">
        <v>3</v>
      </c>
      <c r="F28" s="31">
        <v>4</v>
      </c>
      <c r="G28" s="139">
        <f aca="true" t="shared" si="1" ref="G28:G42">SUM(C28:F28)</f>
        <v>22</v>
      </c>
    </row>
    <row r="29" spans="1:7" ht="15" customHeight="1">
      <c r="A29" s="138">
        <f>'55'!A29</f>
        <v>2</v>
      </c>
      <c r="B29" s="138" t="str">
        <f>'55'!B29</f>
        <v>Lamandau</v>
      </c>
      <c r="C29" s="139">
        <v>1</v>
      </c>
      <c r="D29" s="31">
        <v>1</v>
      </c>
      <c r="E29" s="31">
        <v>0</v>
      </c>
      <c r="F29" s="31">
        <v>0</v>
      </c>
      <c r="G29" s="139">
        <f t="shared" si="1"/>
        <v>2</v>
      </c>
    </row>
    <row r="30" spans="1:7" ht="15" customHeight="1">
      <c r="A30" s="138">
        <f>'55'!A30</f>
        <v>3</v>
      </c>
      <c r="B30" s="138" t="str">
        <f>'55'!B30</f>
        <v>Sukamara</v>
      </c>
      <c r="C30" s="139">
        <v>4</v>
      </c>
      <c r="D30" s="139">
        <v>1</v>
      </c>
      <c r="E30" s="139">
        <v>0</v>
      </c>
      <c r="F30" s="139">
        <v>1</v>
      </c>
      <c r="G30" s="139">
        <f t="shared" si="1"/>
        <v>6</v>
      </c>
    </row>
    <row r="31" spans="1:7" ht="15" customHeight="1">
      <c r="A31" s="138">
        <f>'55'!A31</f>
        <v>4</v>
      </c>
      <c r="B31" s="138" t="str">
        <f>'55'!B31</f>
        <v>Dr. Murjani</v>
      </c>
      <c r="C31" s="139">
        <v>5</v>
      </c>
      <c r="D31" s="31">
        <v>0</v>
      </c>
      <c r="E31" s="31">
        <v>0</v>
      </c>
      <c r="F31" s="31">
        <v>4</v>
      </c>
      <c r="G31" s="139">
        <f t="shared" si="1"/>
        <v>9</v>
      </c>
    </row>
    <row r="32" spans="1:7" ht="15" customHeight="1">
      <c r="A32" s="138">
        <f>'55'!A32</f>
        <v>5</v>
      </c>
      <c r="B32" s="138" t="str">
        <f>'55'!B32</f>
        <v>Kuala Pembuang</v>
      </c>
      <c r="C32" s="139">
        <v>0</v>
      </c>
      <c r="D32" s="139">
        <v>1</v>
      </c>
      <c r="E32" s="139">
        <v>0</v>
      </c>
      <c r="F32" s="139">
        <v>2</v>
      </c>
      <c r="G32" s="139">
        <f t="shared" si="1"/>
        <v>3</v>
      </c>
    </row>
    <row r="33" spans="1:7" ht="15" customHeight="1">
      <c r="A33" s="138">
        <f>'55'!A33</f>
        <v>6</v>
      </c>
      <c r="B33" s="138" t="str">
        <f>'55'!B33</f>
        <v>Hanua</v>
      </c>
      <c r="C33" s="139">
        <v>1</v>
      </c>
      <c r="D33" s="139">
        <v>2</v>
      </c>
      <c r="E33" s="139">
        <v>0</v>
      </c>
      <c r="F33" s="139">
        <v>0</v>
      </c>
      <c r="G33" s="139">
        <f>SUM(C33:F33)</f>
        <v>3</v>
      </c>
    </row>
    <row r="34" spans="1:7" ht="15" customHeight="1">
      <c r="A34" s="138">
        <f>'55'!A34</f>
        <v>7</v>
      </c>
      <c r="B34" s="138" t="str">
        <f>'55'!B34</f>
        <v>Kasongan</v>
      </c>
      <c r="C34" s="139">
        <v>2</v>
      </c>
      <c r="D34" s="31">
        <v>3</v>
      </c>
      <c r="E34" s="31">
        <v>0</v>
      </c>
      <c r="F34" s="31">
        <v>1</v>
      </c>
      <c r="G34" s="139">
        <f t="shared" si="1"/>
        <v>6</v>
      </c>
    </row>
    <row r="35" spans="1:7" ht="15" customHeight="1">
      <c r="A35" s="138">
        <f>'55'!A35</f>
        <v>8</v>
      </c>
      <c r="B35" s="138" t="str">
        <f>'55'!B35</f>
        <v>Dr. Soemarno SA</v>
      </c>
      <c r="C35" s="139">
        <v>11</v>
      </c>
      <c r="D35" s="31">
        <v>7</v>
      </c>
      <c r="E35" s="31">
        <v>1</v>
      </c>
      <c r="F35" s="31">
        <v>3</v>
      </c>
      <c r="G35" s="139">
        <f t="shared" si="1"/>
        <v>22</v>
      </c>
    </row>
    <row r="36" spans="1:7" ht="15" customHeight="1">
      <c r="A36" s="138">
        <f>'55'!A36</f>
        <v>9</v>
      </c>
      <c r="B36" s="138" t="str">
        <f>'55'!B36</f>
        <v>Pulang Pisau</v>
      </c>
      <c r="C36" s="139">
        <v>2</v>
      </c>
      <c r="D36" s="139">
        <v>2</v>
      </c>
      <c r="E36" s="139">
        <v>1</v>
      </c>
      <c r="F36" s="139">
        <v>2</v>
      </c>
      <c r="G36" s="139">
        <f t="shared" si="1"/>
        <v>7</v>
      </c>
    </row>
    <row r="37" spans="1:7" ht="15" customHeight="1">
      <c r="A37" s="138">
        <f>'55'!A37</f>
        <v>10</v>
      </c>
      <c r="B37" s="138" t="str">
        <f>'55'!B37</f>
        <v>Kuala Kurun</v>
      </c>
      <c r="C37" s="139">
        <v>2</v>
      </c>
      <c r="D37" s="139">
        <v>0</v>
      </c>
      <c r="E37" s="139">
        <v>0</v>
      </c>
      <c r="F37" s="139">
        <v>1</v>
      </c>
      <c r="G37" s="139">
        <f t="shared" si="1"/>
        <v>3</v>
      </c>
    </row>
    <row r="38" spans="1:7" ht="15" customHeight="1">
      <c r="A38" s="138">
        <f>'55'!A38</f>
        <v>11</v>
      </c>
      <c r="B38" s="138" t="str">
        <f>'55'!B38</f>
        <v>Buntok</v>
      </c>
      <c r="C38" s="139">
        <v>5</v>
      </c>
      <c r="D38" s="139">
        <v>5</v>
      </c>
      <c r="E38" s="139">
        <v>1</v>
      </c>
      <c r="F38" s="139">
        <v>2</v>
      </c>
      <c r="G38" s="139">
        <f t="shared" si="1"/>
        <v>13</v>
      </c>
    </row>
    <row r="39" spans="1:7" ht="15" customHeight="1">
      <c r="A39" s="138">
        <f>'55'!A39</f>
        <v>12</v>
      </c>
      <c r="B39" s="138" t="str">
        <f>'55'!B39</f>
        <v>Tamiang Layang</v>
      </c>
      <c r="C39" s="139">
        <v>4</v>
      </c>
      <c r="D39" s="31">
        <v>4</v>
      </c>
      <c r="E39" s="31">
        <v>1</v>
      </c>
      <c r="F39" s="31">
        <v>0</v>
      </c>
      <c r="G39" s="139">
        <f t="shared" si="1"/>
        <v>9</v>
      </c>
    </row>
    <row r="40" spans="1:7" ht="15" customHeight="1">
      <c r="A40" s="138">
        <f>'55'!A40</f>
        <v>13</v>
      </c>
      <c r="B40" s="138" t="str">
        <f>'55'!B40</f>
        <v>Muara Teweh</v>
      </c>
      <c r="C40" s="139">
        <v>3</v>
      </c>
      <c r="D40" s="31">
        <v>5</v>
      </c>
      <c r="E40" s="31">
        <v>3</v>
      </c>
      <c r="F40" s="31">
        <v>1</v>
      </c>
      <c r="G40" s="139">
        <f t="shared" si="1"/>
        <v>12</v>
      </c>
    </row>
    <row r="41" spans="1:7" ht="15" customHeight="1">
      <c r="A41" s="138">
        <f>'55'!A41</f>
        <v>14</v>
      </c>
      <c r="B41" s="138" t="str">
        <f>'55'!B41</f>
        <v>Puruk Cahu</v>
      </c>
      <c r="C41" s="139">
        <v>3</v>
      </c>
      <c r="D41" s="31">
        <v>1</v>
      </c>
      <c r="E41" s="31">
        <v>1</v>
      </c>
      <c r="F41" s="31">
        <v>1</v>
      </c>
      <c r="G41" s="139">
        <f t="shared" si="1"/>
        <v>6</v>
      </c>
    </row>
    <row r="42" spans="1:7" ht="15" customHeight="1">
      <c r="A42" s="138">
        <f>'55'!A42</f>
        <v>15</v>
      </c>
      <c r="B42" s="138" t="str">
        <f>'55'!B42</f>
        <v>Dr. Doris Sylvanus</v>
      </c>
      <c r="C42" s="139">
        <v>11</v>
      </c>
      <c r="D42" s="31">
        <v>6</v>
      </c>
      <c r="E42" s="31">
        <v>2</v>
      </c>
      <c r="F42" s="31">
        <v>7</v>
      </c>
      <c r="G42" s="139">
        <f t="shared" si="1"/>
        <v>26</v>
      </c>
    </row>
    <row r="43" spans="1:7" ht="15" customHeight="1">
      <c r="A43" s="138">
        <f>'55'!A43</f>
        <v>16</v>
      </c>
      <c r="B43" s="138" t="str">
        <f>'55'!B43</f>
        <v>RS Bhayangkara</v>
      </c>
      <c r="C43" s="139">
        <v>1</v>
      </c>
      <c r="D43" s="31">
        <v>1</v>
      </c>
      <c r="E43" s="31">
        <v>1</v>
      </c>
      <c r="F43" s="31">
        <v>1</v>
      </c>
      <c r="G43" s="139">
        <f>SUM(C43:F43)</f>
        <v>4</v>
      </c>
    </row>
    <row r="44" spans="1:7" ht="15" customHeight="1">
      <c r="A44" s="138">
        <f>'55'!A44</f>
        <v>17</v>
      </c>
      <c r="B44" s="138" t="str">
        <f>'55'!B44</f>
        <v>RS TNI Denkensyah</v>
      </c>
      <c r="C44" s="139">
        <v>0</v>
      </c>
      <c r="D44" s="31">
        <v>0</v>
      </c>
      <c r="E44" s="31">
        <v>0</v>
      </c>
      <c r="F44" s="31">
        <v>0</v>
      </c>
      <c r="G44" s="139">
        <f>SUM(C44:F44)</f>
        <v>0</v>
      </c>
    </row>
    <row r="45" spans="1:7" ht="15" customHeight="1">
      <c r="A45" s="138"/>
      <c r="B45" s="30"/>
      <c r="C45" s="139"/>
      <c r="D45" s="31"/>
      <c r="E45" s="31"/>
      <c r="F45" s="31"/>
      <c r="G45" s="139">
        <f>SUM(C45:F45)</f>
        <v>0</v>
      </c>
    </row>
    <row r="46" spans="1:7" ht="19.5" customHeight="1">
      <c r="A46" s="142" t="s">
        <v>63</v>
      </c>
      <c r="B46" s="178"/>
      <c r="C46" s="140">
        <f>SUM(C27:C45)</f>
        <v>65</v>
      </c>
      <c r="D46" s="140">
        <f>SUM(D27:D45)</f>
        <v>44</v>
      </c>
      <c r="E46" s="140">
        <f>SUM(E27:E45)</f>
        <v>14</v>
      </c>
      <c r="F46" s="140">
        <f>SUM(F27:F45)</f>
        <v>30</v>
      </c>
      <c r="G46" s="140">
        <f>SUM(G27:G45)</f>
        <v>153</v>
      </c>
    </row>
    <row r="47" spans="1:7" ht="19.5" customHeight="1">
      <c r="A47" s="528" t="s">
        <v>64</v>
      </c>
      <c r="B47" s="178"/>
      <c r="C47" s="140">
        <f>SUM(C48:C51)</f>
        <v>0</v>
      </c>
      <c r="D47" s="140">
        <f>SUM(D48:D51)</f>
        <v>0</v>
      </c>
      <c r="E47" s="140">
        <f>SUM(E48:E51)</f>
        <v>0</v>
      </c>
      <c r="F47" s="140">
        <f>SUM(F48:F51)</f>
        <v>0</v>
      </c>
      <c r="G47" s="140">
        <f>SUM(G48:G51)</f>
        <v>0</v>
      </c>
    </row>
    <row r="48" spans="1:7" ht="15" customHeight="1">
      <c r="A48" s="528">
        <f>'55'!A48</f>
        <v>1</v>
      </c>
      <c r="B48" s="178" t="str">
        <f>'55'!B48</f>
        <v>Akper Kapuas</v>
      </c>
      <c r="C48" s="140">
        <v>0</v>
      </c>
      <c r="D48" s="196">
        <v>0</v>
      </c>
      <c r="E48" s="196">
        <v>0</v>
      </c>
      <c r="F48" s="196">
        <v>0</v>
      </c>
      <c r="G48" s="140">
        <f>SUM(C48:F48)</f>
        <v>0</v>
      </c>
    </row>
    <row r="49" spans="1:7" ht="15" customHeight="1">
      <c r="A49" s="183">
        <f>'55'!A49</f>
        <v>2</v>
      </c>
      <c r="B49" s="30" t="str">
        <f>'55'!B49</f>
        <v>Akper Sampit</v>
      </c>
      <c r="C49" s="139">
        <v>0</v>
      </c>
      <c r="D49" s="31">
        <v>0</v>
      </c>
      <c r="E49" s="31">
        <v>0</v>
      </c>
      <c r="F49" s="31">
        <v>0</v>
      </c>
      <c r="G49" s="139">
        <f>SUM(C49:F49)</f>
        <v>0</v>
      </c>
    </row>
    <row r="50" spans="1:7" ht="15" customHeight="1">
      <c r="A50" s="183">
        <f>'55'!A50</f>
        <v>3</v>
      </c>
      <c r="B50" s="30" t="str">
        <f>'55'!B50</f>
        <v>Poltekes *)</v>
      </c>
      <c r="C50" s="139">
        <v>0</v>
      </c>
      <c r="D50" s="31">
        <v>0</v>
      </c>
      <c r="E50" s="31">
        <v>0</v>
      </c>
      <c r="F50" s="31">
        <v>0</v>
      </c>
      <c r="G50" s="139">
        <f>SUM(C50:F50)</f>
        <v>0</v>
      </c>
    </row>
    <row r="51" spans="1:7" ht="15" customHeight="1">
      <c r="A51" s="183">
        <f>'55'!A51</f>
        <v>4</v>
      </c>
      <c r="B51" s="30" t="str">
        <f>'55'!B51</f>
        <v>Bapelkes Palangka Raya</v>
      </c>
      <c r="C51" s="139">
        <v>0</v>
      </c>
      <c r="D51" s="31">
        <v>0</v>
      </c>
      <c r="E51" s="31">
        <v>0</v>
      </c>
      <c r="F51" s="31">
        <v>0</v>
      </c>
      <c r="G51" s="139">
        <f>SUM(C51:F51)</f>
        <v>0</v>
      </c>
    </row>
    <row r="52" spans="1:7" ht="15" customHeight="1">
      <c r="A52" s="232"/>
      <c r="B52" s="35"/>
      <c r="C52" s="164"/>
      <c r="D52" s="36"/>
      <c r="E52" s="36"/>
      <c r="F52" s="36"/>
      <c r="G52" s="164"/>
    </row>
    <row r="53" spans="1:7" ht="19.5" customHeight="1">
      <c r="A53" s="528" t="s">
        <v>65</v>
      </c>
      <c r="B53" s="178"/>
      <c r="C53" s="140">
        <f>SUM(C54:C61)</f>
        <v>31</v>
      </c>
      <c r="D53" s="140">
        <f>SUM(D54:D61)</f>
        <v>2</v>
      </c>
      <c r="E53" s="140">
        <f>SUM(E54:E61)</f>
        <v>0</v>
      </c>
      <c r="F53" s="140">
        <f>SUM(F54:F61)</f>
        <v>0</v>
      </c>
      <c r="G53" s="140">
        <f>SUM(G54:G61)</f>
        <v>33</v>
      </c>
    </row>
    <row r="54" spans="1:7" ht="14.25" customHeight="1">
      <c r="A54" s="528">
        <f>'55'!A54</f>
        <v>1</v>
      </c>
      <c r="B54" s="178" t="str">
        <f>'55'!B54</f>
        <v>KKP Sampit</v>
      </c>
      <c r="C54" s="140">
        <v>0</v>
      </c>
      <c r="D54" s="196">
        <v>0</v>
      </c>
      <c r="E54" s="196">
        <v>0</v>
      </c>
      <c r="F54" s="196">
        <v>0</v>
      </c>
      <c r="G54" s="140">
        <f aca="true" t="shared" si="2" ref="G54:G61">SUM(C54:F54)</f>
        <v>0</v>
      </c>
    </row>
    <row r="55" spans="1:7" ht="14.25" customHeight="1">
      <c r="A55" s="183">
        <f>'55'!A55</f>
        <v>2</v>
      </c>
      <c r="B55" s="30" t="str">
        <f>'55'!B55</f>
        <v>KKP Pulang Pisau</v>
      </c>
      <c r="C55" s="139">
        <v>0</v>
      </c>
      <c r="D55" s="31">
        <v>0</v>
      </c>
      <c r="E55" s="31">
        <v>0</v>
      </c>
      <c r="F55" s="31">
        <v>0</v>
      </c>
      <c r="G55" s="139">
        <f t="shared" si="2"/>
        <v>0</v>
      </c>
    </row>
    <row r="56" spans="1:7" ht="14.25" customHeight="1">
      <c r="A56" s="183">
        <f>'55'!A56</f>
        <v>3</v>
      </c>
      <c r="B56" s="30" t="str">
        <f>'55'!B56</f>
        <v>Labkesda/GFK Kuala Kapuas</v>
      </c>
      <c r="C56" s="139">
        <v>2</v>
      </c>
      <c r="D56" s="31">
        <v>0</v>
      </c>
      <c r="E56" s="31">
        <v>0</v>
      </c>
      <c r="F56" s="31">
        <v>0</v>
      </c>
      <c r="G56" s="139">
        <f t="shared" si="2"/>
        <v>2</v>
      </c>
    </row>
    <row r="57" spans="1:7" ht="14.25" customHeight="1">
      <c r="A57" s="183">
        <f>'55'!A57</f>
        <v>4</v>
      </c>
      <c r="B57" s="138" t="str">
        <f>'55'!B57</f>
        <v>Labkesda &amp; GFK Pangkalan Bun</v>
      </c>
      <c r="C57" s="139">
        <v>1</v>
      </c>
      <c r="D57" s="31">
        <v>0</v>
      </c>
      <c r="E57" s="31">
        <v>0</v>
      </c>
      <c r="F57" s="31">
        <v>0</v>
      </c>
      <c r="G57" s="139">
        <f t="shared" si="2"/>
        <v>1</v>
      </c>
    </row>
    <row r="58" spans="1:7" ht="14.25" customHeight="1">
      <c r="A58" s="183">
        <v>5</v>
      </c>
      <c r="B58" s="30" t="str">
        <f>'55'!B58</f>
        <v>Balai Keswamas Palangka Raya</v>
      </c>
      <c r="C58" s="139">
        <v>0</v>
      </c>
      <c r="D58" s="31">
        <v>1</v>
      </c>
      <c r="E58" s="31">
        <v>0</v>
      </c>
      <c r="F58" s="31">
        <v>0</v>
      </c>
      <c r="G58" s="139">
        <f t="shared" si="2"/>
        <v>1</v>
      </c>
    </row>
    <row r="59" spans="1:7" ht="14.25" customHeight="1">
      <c r="A59" s="183">
        <v>6</v>
      </c>
      <c r="B59" s="30" t="str">
        <f>'55'!B59</f>
        <v>Balai Labkes Palangka Raya</v>
      </c>
      <c r="C59" s="139">
        <v>27</v>
      </c>
      <c r="D59" s="31">
        <v>1</v>
      </c>
      <c r="E59" s="31">
        <v>0</v>
      </c>
      <c r="F59" s="31">
        <v>0</v>
      </c>
      <c r="G59" s="139">
        <f t="shared" si="2"/>
        <v>28</v>
      </c>
    </row>
    <row r="60" spans="1:7" ht="14.25" customHeight="1">
      <c r="A60" s="183">
        <v>7</v>
      </c>
      <c r="B60" s="30" t="str">
        <f>'55'!B60</f>
        <v>Badan POM Palangka Raya *)</v>
      </c>
      <c r="C60" s="139">
        <v>1</v>
      </c>
      <c r="D60" s="31">
        <v>0</v>
      </c>
      <c r="E60" s="31">
        <v>0</v>
      </c>
      <c r="F60" s="31">
        <v>0</v>
      </c>
      <c r="G60" s="139">
        <f t="shared" si="2"/>
        <v>1</v>
      </c>
    </row>
    <row r="61" spans="1:7" ht="14.25" customHeight="1">
      <c r="A61" s="138">
        <v>8</v>
      </c>
      <c r="B61" s="33" t="s">
        <v>590</v>
      </c>
      <c r="C61" s="139">
        <v>0</v>
      </c>
      <c r="D61" s="31">
        <v>0</v>
      </c>
      <c r="E61" s="31">
        <v>0</v>
      </c>
      <c r="F61" s="31">
        <v>0</v>
      </c>
      <c r="G61" s="139">
        <f t="shared" si="2"/>
        <v>0</v>
      </c>
    </row>
    <row r="62" spans="1:7" ht="14.25" customHeight="1">
      <c r="A62" s="232"/>
      <c r="B62" s="35"/>
      <c r="C62" s="164"/>
      <c r="D62" s="36"/>
      <c r="E62" s="36"/>
      <c r="F62" s="36"/>
      <c r="G62" s="164"/>
    </row>
    <row r="63" spans="1:7" ht="19.5" customHeight="1">
      <c r="A63" s="144" t="s">
        <v>66</v>
      </c>
      <c r="B63" s="108"/>
      <c r="C63" s="147">
        <f>SUM(C64:C78)</f>
        <v>7</v>
      </c>
      <c r="D63" s="147">
        <f>SUM(D64:D78)</f>
        <v>7</v>
      </c>
      <c r="E63" s="147">
        <f>SUM(E64:E78)</f>
        <v>0</v>
      </c>
      <c r="F63" s="147">
        <f>SUM(F64:F78)</f>
        <v>1</v>
      </c>
      <c r="G63" s="147">
        <f>SUM(G64:G78)</f>
        <v>15</v>
      </c>
    </row>
    <row r="64" spans="1:7" ht="14.25" customHeight="1">
      <c r="A64" s="528">
        <f>'55'!A64</f>
        <v>1</v>
      </c>
      <c r="B64" s="178" t="str">
        <f>'55'!B64</f>
        <v>Kotawaringin Barat</v>
      </c>
      <c r="C64" s="140">
        <v>0</v>
      </c>
      <c r="D64" s="140">
        <v>0</v>
      </c>
      <c r="E64" s="140">
        <v>0</v>
      </c>
      <c r="F64" s="140">
        <v>1</v>
      </c>
      <c r="G64" s="139">
        <f aca="true" t="shared" si="3" ref="G64:G78">SUM(C64:F64)</f>
        <v>1</v>
      </c>
    </row>
    <row r="65" spans="1:7" ht="14.25" customHeight="1">
      <c r="A65" s="183">
        <f>'55'!A65</f>
        <v>2</v>
      </c>
      <c r="B65" s="30" t="str">
        <f>'55'!B65</f>
        <v>Lamandau</v>
      </c>
      <c r="C65" s="139">
        <v>2</v>
      </c>
      <c r="D65" s="139">
        <v>0</v>
      </c>
      <c r="E65" s="139">
        <v>0</v>
      </c>
      <c r="F65" s="139">
        <v>0</v>
      </c>
      <c r="G65" s="139">
        <f t="shared" si="3"/>
        <v>2</v>
      </c>
    </row>
    <row r="66" spans="1:7" ht="14.25" customHeight="1">
      <c r="A66" s="183">
        <f>'55'!A66</f>
        <v>3</v>
      </c>
      <c r="B66" s="30" t="str">
        <f>'55'!B66</f>
        <v>Sukamara</v>
      </c>
      <c r="C66" s="139">
        <v>0</v>
      </c>
      <c r="D66" s="31">
        <v>0</v>
      </c>
      <c r="E66" s="31">
        <v>0</v>
      </c>
      <c r="F66" s="31">
        <v>0</v>
      </c>
      <c r="G66" s="139">
        <f t="shared" si="3"/>
        <v>0</v>
      </c>
    </row>
    <row r="67" spans="1:7" ht="14.25" customHeight="1">
      <c r="A67" s="183">
        <f>'55'!A67</f>
        <v>4</v>
      </c>
      <c r="B67" s="30" t="str">
        <f>'55'!B67</f>
        <v>Kotawaringin Timur</v>
      </c>
      <c r="C67" s="139">
        <v>3</v>
      </c>
      <c r="D67" s="139">
        <v>0</v>
      </c>
      <c r="E67" s="139">
        <v>0</v>
      </c>
      <c r="F67" s="139">
        <v>0</v>
      </c>
      <c r="G67" s="139">
        <f t="shared" si="3"/>
        <v>3</v>
      </c>
    </row>
    <row r="68" spans="1:7" ht="14.25" customHeight="1">
      <c r="A68" s="183">
        <f>'55'!A68</f>
        <v>5</v>
      </c>
      <c r="B68" s="30" t="str">
        <f>'55'!B68</f>
        <v>Seruyan</v>
      </c>
      <c r="C68" s="139">
        <v>0</v>
      </c>
      <c r="D68" s="139">
        <v>0</v>
      </c>
      <c r="E68" s="139">
        <v>0</v>
      </c>
      <c r="F68" s="139">
        <v>0</v>
      </c>
      <c r="G68" s="139">
        <f t="shared" si="3"/>
        <v>0</v>
      </c>
    </row>
    <row r="69" spans="1:7" ht="14.25" customHeight="1">
      <c r="A69" s="183">
        <f>'55'!A69</f>
        <v>6</v>
      </c>
      <c r="B69" s="30" t="str">
        <f>'55'!B69</f>
        <v>Katingan</v>
      </c>
      <c r="C69" s="139">
        <v>0</v>
      </c>
      <c r="D69" s="31">
        <v>1</v>
      </c>
      <c r="E69" s="31">
        <v>0</v>
      </c>
      <c r="F69" s="31">
        <v>0</v>
      </c>
      <c r="G69" s="139">
        <f t="shared" si="3"/>
        <v>1</v>
      </c>
    </row>
    <row r="70" spans="1:7" ht="14.25" customHeight="1">
      <c r="A70" s="183">
        <f>'55'!A70</f>
        <v>7</v>
      </c>
      <c r="B70" s="30" t="str">
        <f>'55'!B70</f>
        <v>Kapuas</v>
      </c>
      <c r="C70" s="139">
        <v>0</v>
      </c>
      <c r="D70" s="139">
        <v>0</v>
      </c>
      <c r="E70" s="139">
        <v>0</v>
      </c>
      <c r="F70" s="139">
        <v>0</v>
      </c>
      <c r="G70" s="139">
        <f>SUM(C70:F70)</f>
        <v>0</v>
      </c>
    </row>
    <row r="71" spans="1:7" ht="14.25" customHeight="1">
      <c r="A71" s="183">
        <f>'55'!A71</f>
        <v>8</v>
      </c>
      <c r="B71" s="30" t="str">
        <f>'55'!B71</f>
        <v>Pulang Pisau</v>
      </c>
      <c r="C71" s="139">
        <v>0</v>
      </c>
      <c r="D71" s="139">
        <v>2</v>
      </c>
      <c r="E71" s="139">
        <v>0</v>
      </c>
      <c r="F71" s="139">
        <v>0</v>
      </c>
      <c r="G71" s="139">
        <f t="shared" si="3"/>
        <v>2</v>
      </c>
    </row>
    <row r="72" spans="1:7" ht="14.25" customHeight="1">
      <c r="A72" s="183">
        <f>'55'!A72</f>
        <v>9</v>
      </c>
      <c r="B72" s="30" t="str">
        <f>'55'!B72</f>
        <v>Gunung Mas</v>
      </c>
      <c r="C72" s="139">
        <v>0</v>
      </c>
      <c r="D72" s="139">
        <v>0</v>
      </c>
      <c r="E72" s="139">
        <v>0</v>
      </c>
      <c r="F72" s="139">
        <v>0</v>
      </c>
      <c r="G72" s="139">
        <f t="shared" si="3"/>
        <v>0</v>
      </c>
    </row>
    <row r="73" spans="1:7" ht="14.25" customHeight="1">
      <c r="A73" s="183">
        <f>'55'!A73</f>
        <v>10</v>
      </c>
      <c r="B73" s="30" t="str">
        <f>'55'!B73</f>
        <v>Barito Selatan</v>
      </c>
      <c r="C73" s="139">
        <v>0</v>
      </c>
      <c r="D73" s="139">
        <v>0</v>
      </c>
      <c r="E73" s="139">
        <v>0</v>
      </c>
      <c r="F73" s="139">
        <v>0</v>
      </c>
      <c r="G73" s="139">
        <f t="shared" si="3"/>
        <v>0</v>
      </c>
    </row>
    <row r="74" spans="1:7" ht="14.25" customHeight="1">
      <c r="A74" s="183">
        <f>'55'!A74</f>
        <v>11</v>
      </c>
      <c r="B74" s="30" t="str">
        <f>'55'!B74</f>
        <v>Barito Timur</v>
      </c>
      <c r="C74" s="139">
        <v>0</v>
      </c>
      <c r="D74" s="139">
        <v>2</v>
      </c>
      <c r="E74" s="139">
        <v>0</v>
      </c>
      <c r="F74" s="139">
        <v>0</v>
      </c>
      <c r="G74" s="139">
        <f t="shared" si="3"/>
        <v>2</v>
      </c>
    </row>
    <row r="75" spans="1:7" ht="14.25" customHeight="1">
      <c r="A75" s="183">
        <f>'55'!A75</f>
        <v>12</v>
      </c>
      <c r="B75" s="30" t="str">
        <f>'55'!B75</f>
        <v>Barito Utara</v>
      </c>
      <c r="C75" s="139">
        <v>1</v>
      </c>
      <c r="D75" s="31">
        <v>0</v>
      </c>
      <c r="E75" s="31">
        <v>0</v>
      </c>
      <c r="F75" s="31">
        <v>0</v>
      </c>
      <c r="G75" s="139">
        <f t="shared" si="3"/>
        <v>1</v>
      </c>
    </row>
    <row r="76" spans="1:8" ht="14.25" customHeight="1">
      <c r="A76" s="183">
        <f>'55'!A76</f>
        <v>13</v>
      </c>
      <c r="B76" s="138" t="str">
        <f>'55'!B76</f>
        <v>Murung Raya</v>
      </c>
      <c r="C76" s="139">
        <v>1</v>
      </c>
      <c r="D76" s="139">
        <v>0</v>
      </c>
      <c r="E76" s="139">
        <v>0</v>
      </c>
      <c r="F76" s="139">
        <v>0</v>
      </c>
      <c r="G76" s="139">
        <f t="shared" si="3"/>
        <v>1</v>
      </c>
      <c r="H76" s="133"/>
    </row>
    <row r="77" spans="1:7" ht="14.25" customHeight="1">
      <c r="A77" s="183">
        <f>'55'!A77</f>
        <v>14</v>
      </c>
      <c r="B77" s="30" t="str">
        <f>'55'!B77</f>
        <v>Palangka Raya</v>
      </c>
      <c r="C77" s="139">
        <v>0</v>
      </c>
      <c r="D77" s="31">
        <v>2</v>
      </c>
      <c r="E77" s="31">
        <v>0</v>
      </c>
      <c r="F77" s="31">
        <v>0</v>
      </c>
      <c r="G77" s="139">
        <f t="shared" si="3"/>
        <v>2</v>
      </c>
    </row>
    <row r="78" spans="1:7" ht="14.25" customHeight="1">
      <c r="A78" s="183">
        <f>'55'!A78</f>
        <v>15</v>
      </c>
      <c r="B78" s="30" t="str">
        <f>'55'!B78</f>
        <v>Provinsi Kalimantan Tengah</v>
      </c>
      <c r="C78" s="139">
        <v>0</v>
      </c>
      <c r="D78" s="31">
        <v>0</v>
      </c>
      <c r="E78" s="31">
        <v>0</v>
      </c>
      <c r="F78" s="31">
        <v>0</v>
      </c>
      <c r="G78" s="139">
        <f t="shared" si="3"/>
        <v>0</v>
      </c>
    </row>
    <row r="79" spans="1:7" ht="14.25" customHeight="1">
      <c r="A79" s="232"/>
      <c r="B79" s="35"/>
      <c r="C79" s="164"/>
      <c r="D79" s="36"/>
      <c r="E79" s="36"/>
      <c r="F79" s="36"/>
      <c r="G79" s="164"/>
    </row>
    <row r="80" spans="1:7" ht="19.5" customHeight="1" thickBot="1">
      <c r="A80" s="165" t="s">
        <v>859</v>
      </c>
      <c r="B80" s="108"/>
      <c r="C80" s="109">
        <f>C26+C46+C47+C53+C63</f>
        <v>184</v>
      </c>
      <c r="D80" s="109">
        <f>D26+D46+D47+D53+D63</f>
        <v>54</v>
      </c>
      <c r="E80" s="109">
        <f>E26+E46+E47+E53+E63</f>
        <v>14</v>
      </c>
      <c r="F80" s="109">
        <f>F26+F46+F47+F53+F63</f>
        <v>32</v>
      </c>
      <c r="G80" s="109">
        <f>G26+G46+G47+G53+G63</f>
        <v>284</v>
      </c>
    </row>
    <row r="81" spans="1:7" ht="19.5" customHeight="1" thickBot="1">
      <c r="A81" s="243" t="s">
        <v>94</v>
      </c>
      <c r="B81" s="39"/>
      <c r="C81" s="332">
        <f>C80/1!G27*100000</f>
        <v>8.426189329147105</v>
      </c>
      <c r="D81" s="332">
        <f>D80/1!G27*100000</f>
        <v>2.4729033900757806</v>
      </c>
      <c r="E81" s="332">
        <f>E80/1!G27*100000</f>
        <v>0.641123101130758</v>
      </c>
      <c r="F81" s="332">
        <f>F80/1!G27*100000</f>
        <v>1.4654242311560184</v>
      </c>
      <c r="G81" s="332">
        <f>G80/1!G27*100000</f>
        <v>13.005640051509662</v>
      </c>
    </row>
    <row r="83" ht="15">
      <c r="A83" s="133" t="s">
        <v>957</v>
      </c>
    </row>
    <row r="84" ht="15">
      <c r="B84" s="14" t="s">
        <v>958</v>
      </c>
    </row>
    <row r="85" ht="15">
      <c r="B85" s="14" t="s">
        <v>961</v>
      </c>
    </row>
    <row r="86" ht="15">
      <c r="B86" s="14" t="s">
        <v>960</v>
      </c>
    </row>
    <row r="87" ht="15">
      <c r="B87" s="14" t="s">
        <v>959</v>
      </c>
    </row>
    <row r="88" ht="15">
      <c r="A88" s="133" t="s">
        <v>14</v>
      </c>
    </row>
    <row r="89" ht="15">
      <c r="B89" s="14" t="s">
        <v>950</v>
      </c>
    </row>
  </sheetData>
  <mergeCells count="5">
    <mergeCell ref="A7:A8"/>
    <mergeCell ref="B7:B8"/>
    <mergeCell ref="A3:G3"/>
    <mergeCell ref="A4:G4"/>
    <mergeCell ref="A5:G5"/>
  </mergeCells>
  <printOptions horizontalCentered="1"/>
  <pageMargins left="0.1968503937007874" right="0.7086614173228347" top="0.7874015748031497" bottom="0.7874015748031497" header="0" footer="0.7874015748031497"/>
  <pageSetup horizontalDpi="300" verticalDpi="300" orientation="portrait" paperSize="9" scale="55" r:id="rId1"/>
  <headerFooter alignWithMargins="0">
    <oddFooter>&amp;C116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43"/>
  <dimension ref="A1:F51"/>
  <sheetViews>
    <sheetView zoomScale="75" zoomScaleNormal="75" workbookViewId="0" topLeftCell="A1">
      <selection activeCell="B59" sqref="B59"/>
    </sheetView>
  </sheetViews>
  <sheetFormatPr defaultColWidth="9.140625" defaultRowHeight="12.75"/>
  <cols>
    <col min="1" max="1" width="5.7109375" style="14" customWidth="1"/>
    <col min="2" max="2" width="47.8515625" style="14" customWidth="1"/>
    <col min="3" max="3" width="34.00390625" style="14" customWidth="1"/>
    <col min="4" max="4" width="30.7109375" style="14" customWidth="1"/>
    <col min="5" max="5" width="9.140625" style="14" customWidth="1"/>
    <col min="6" max="6" width="16.28125" style="14" bestFit="1" customWidth="1"/>
    <col min="7" max="16384" width="9.140625" style="14" customWidth="1"/>
  </cols>
  <sheetData>
    <row r="1" ht="15">
      <c r="A1" s="13" t="s">
        <v>810</v>
      </c>
    </row>
    <row r="3" spans="1:4" ht="15">
      <c r="A3" s="641" t="s">
        <v>132</v>
      </c>
      <c r="B3" s="641"/>
      <c r="C3" s="641"/>
      <c r="D3" s="641"/>
    </row>
    <row r="4" spans="1:4" ht="15">
      <c r="A4" s="641" t="str">
        <f>1!A5</f>
        <v>PROVINSI KALIMANTAN TENGAH</v>
      </c>
      <c r="B4" s="641"/>
      <c r="C4" s="641"/>
      <c r="D4" s="641"/>
    </row>
    <row r="5" spans="1:4" ht="15">
      <c r="A5" s="641" t="str">
        <f>1!A6</f>
        <v>TAHUN 2009</v>
      </c>
      <c r="B5" s="641"/>
      <c r="C5" s="641"/>
      <c r="D5" s="641"/>
    </row>
    <row r="6" ht="15.75" thickBot="1"/>
    <row r="7" spans="1:4" ht="19.5" customHeight="1">
      <c r="A7" s="649" t="s">
        <v>2</v>
      </c>
      <c r="B7" s="649" t="s">
        <v>128</v>
      </c>
      <c r="C7" s="208" t="s">
        <v>133</v>
      </c>
      <c r="D7" s="208"/>
    </row>
    <row r="8" spans="1:4" ht="19.5" customHeight="1">
      <c r="A8" s="616"/>
      <c r="B8" s="616"/>
      <c r="C8" s="52" t="s">
        <v>268</v>
      </c>
      <c r="D8" s="52" t="s">
        <v>27</v>
      </c>
    </row>
    <row r="9" spans="1:4" ht="15">
      <c r="A9" s="11">
        <v>1</v>
      </c>
      <c r="B9" s="11">
        <v>2</v>
      </c>
      <c r="C9" s="11">
        <v>3</v>
      </c>
      <c r="D9" s="11">
        <v>4</v>
      </c>
    </row>
    <row r="10" spans="1:4" ht="15">
      <c r="A10" s="25"/>
      <c r="B10" s="9"/>
      <c r="C10" s="22"/>
      <c r="D10" s="22"/>
    </row>
    <row r="11" spans="1:4" ht="24.75" customHeight="1">
      <c r="A11" s="30"/>
      <c r="B11" s="193" t="s">
        <v>269</v>
      </c>
      <c r="C11" s="30"/>
      <c r="D11" s="30"/>
    </row>
    <row r="12" spans="1:4" ht="15" customHeight="1">
      <c r="A12" s="30"/>
      <c r="B12" s="193"/>
      <c r="C12" s="30"/>
      <c r="D12" s="30"/>
    </row>
    <row r="13" spans="1:4" ht="24.75" customHeight="1">
      <c r="A13" s="30" t="s">
        <v>279</v>
      </c>
      <c r="B13" s="30" t="s">
        <v>129</v>
      </c>
      <c r="C13" s="31">
        <f>SUM(C14:C27)</f>
        <v>364953590108</v>
      </c>
      <c r="D13" s="188">
        <f>C13/$C$41*100</f>
        <v>67.22008368007926</v>
      </c>
    </row>
    <row r="14" spans="1:4" ht="15" customHeight="1">
      <c r="A14" s="30">
        <f>1!A12</f>
        <v>1</v>
      </c>
      <c r="B14" s="138" t="str">
        <f>1!B12</f>
        <v>Kotawaringin Barat</v>
      </c>
      <c r="C14" s="31">
        <v>59133068547</v>
      </c>
      <c r="D14" s="188">
        <f>C14/$C$41*100</f>
        <v>10.891603545571122</v>
      </c>
    </row>
    <row r="15" spans="1:4" ht="15" customHeight="1">
      <c r="A15" s="30">
        <f>1!A13</f>
        <v>2</v>
      </c>
      <c r="B15" s="138" t="str">
        <f>1!B13</f>
        <v>Lamandau</v>
      </c>
      <c r="C15" s="31">
        <v>17468841575</v>
      </c>
      <c r="D15" s="188">
        <f aca="true" t="shared" si="0" ref="D15:D27">C15/$C$41*100</f>
        <v>3.2175515580434544</v>
      </c>
    </row>
    <row r="16" spans="1:4" ht="15" customHeight="1">
      <c r="A16" s="30">
        <f>1!A14</f>
        <v>3</v>
      </c>
      <c r="B16" s="138" t="str">
        <f>1!B14</f>
        <v>Sukamara</v>
      </c>
      <c r="C16" s="31">
        <v>15155455740</v>
      </c>
      <c r="D16" s="188">
        <f t="shared" si="0"/>
        <v>2.7914535729078884</v>
      </c>
    </row>
    <row r="17" spans="1:4" ht="15" customHeight="1">
      <c r="A17" s="30">
        <f>1!A15</f>
        <v>4</v>
      </c>
      <c r="B17" s="138" t="str">
        <f>1!B15</f>
        <v>Kotawaringin Timur</v>
      </c>
      <c r="C17" s="31">
        <v>52619845759</v>
      </c>
      <c r="D17" s="188">
        <f t="shared" si="0"/>
        <v>9.691945855652808</v>
      </c>
    </row>
    <row r="18" spans="1:6" ht="15" customHeight="1">
      <c r="A18" s="30">
        <f>1!A16</f>
        <v>5</v>
      </c>
      <c r="B18" s="138" t="str">
        <f>1!B16</f>
        <v>Seruyan</v>
      </c>
      <c r="C18" s="31">
        <f>26458765989+17977765989</f>
        <v>44436531978</v>
      </c>
      <c r="D18" s="188">
        <f t="shared" si="0"/>
        <v>8.184677391801333</v>
      </c>
      <c r="F18" s="193"/>
    </row>
    <row r="19" spans="1:4" ht="15" customHeight="1">
      <c r="A19" s="30">
        <f>1!A17</f>
        <v>6</v>
      </c>
      <c r="B19" s="138" t="str">
        <f>1!B17</f>
        <v>Katingan</v>
      </c>
      <c r="C19" s="31">
        <v>22769503609</v>
      </c>
      <c r="D19" s="188">
        <f t="shared" si="0"/>
        <v>4.19387006851449</v>
      </c>
    </row>
    <row r="20" spans="1:4" ht="15" customHeight="1">
      <c r="A20" s="30">
        <f>1!A18</f>
        <v>7</v>
      </c>
      <c r="B20" s="138" t="str">
        <f>1!B18</f>
        <v>Kapuas</v>
      </c>
      <c r="C20" s="139">
        <v>25799529899</v>
      </c>
      <c r="D20" s="188">
        <f t="shared" si="0"/>
        <v>4.751964648996259</v>
      </c>
    </row>
    <row r="21" spans="1:4" ht="15" customHeight="1">
      <c r="A21" s="30">
        <f>1!A19</f>
        <v>8</v>
      </c>
      <c r="B21" s="138" t="str">
        <f>1!B19</f>
        <v>Pulang Pisau</v>
      </c>
      <c r="C21" s="31">
        <v>2951000000</v>
      </c>
      <c r="D21" s="188">
        <f t="shared" si="0"/>
        <v>0.5435388836186313</v>
      </c>
    </row>
    <row r="22" spans="1:4" ht="15" customHeight="1">
      <c r="A22" s="30">
        <f>1!A20</f>
        <v>9</v>
      </c>
      <c r="B22" s="138" t="str">
        <f>1!B20</f>
        <v>Gunung Mas</v>
      </c>
      <c r="C22" s="31">
        <v>18524350200</v>
      </c>
      <c r="D22" s="188">
        <f t="shared" si="0"/>
        <v>3.4119636148656625</v>
      </c>
    </row>
    <row r="23" spans="1:4" ht="15" customHeight="1">
      <c r="A23" s="30">
        <f>1!A21</f>
        <v>10</v>
      </c>
      <c r="B23" s="138" t="str">
        <f>1!B21</f>
        <v>Barito Selatan</v>
      </c>
      <c r="C23" s="31">
        <v>16823168697</v>
      </c>
      <c r="D23" s="188">
        <f t="shared" si="0"/>
        <v>3.0986263410692256</v>
      </c>
    </row>
    <row r="24" spans="1:4" ht="15" customHeight="1">
      <c r="A24" s="30">
        <f>1!A22</f>
        <v>11</v>
      </c>
      <c r="B24" s="138" t="str">
        <f>1!B22</f>
        <v>Barito Timur</v>
      </c>
      <c r="C24" s="31">
        <f>20600000000</f>
        <v>20600000000</v>
      </c>
      <c r="D24" s="188">
        <f t="shared" si="0"/>
        <v>3.794273467483499</v>
      </c>
    </row>
    <row r="25" spans="1:4" ht="15" customHeight="1">
      <c r="A25" s="30">
        <f>1!A23</f>
        <v>12</v>
      </c>
      <c r="B25" s="138" t="str">
        <f>1!B23</f>
        <v>Barito Utara</v>
      </c>
      <c r="C25" s="31">
        <v>13910705500</v>
      </c>
      <c r="D25" s="188">
        <f t="shared" si="0"/>
        <v>2.5621854753702324</v>
      </c>
    </row>
    <row r="26" spans="1:4" ht="15" customHeight="1">
      <c r="A26" s="30">
        <f>1!A24</f>
        <v>13</v>
      </c>
      <c r="B26" s="138" t="str">
        <f>1!B24</f>
        <v>Murung Raya</v>
      </c>
      <c r="C26" s="31">
        <v>26461125245</v>
      </c>
      <c r="D26" s="188">
        <f t="shared" si="0"/>
        <v>4.873822594022394</v>
      </c>
    </row>
    <row r="27" spans="1:4" ht="15" customHeight="1">
      <c r="A27" s="30">
        <f>1!A25</f>
        <v>14</v>
      </c>
      <c r="B27" s="138" t="str">
        <f>1!B25</f>
        <v>Palangka Raya</v>
      </c>
      <c r="C27" s="31">
        <v>28300463359</v>
      </c>
      <c r="D27" s="188">
        <f t="shared" si="0"/>
        <v>5.212606662162264</v>
      </c>
    </row>
    <row r="28" spans="1:4" ht="15" customHeight="1">
      <c r="A28" s="30"/>
      <c r="B28" s="138"/>
      <c r="C28" s="31"/>
      <c r="D28" s="30"/>
    </row>
    <row r="29" spans="1:6" ht="24.75" customHeight="1">
      <c r="A29" s="30" t="s">
        <v>871</v>
      </c>
      <c r="B29" s="30" t="s">
        <v>500</v>
      </c>
      <c r="C29" s="31">
        <v>21261155640</v>
      </c>
      <c r="D29" s="188">
        <f>C29/$C$41*100</f>
        <v>3.9160504239266576</v>
      </c>
      <c r="F29" s="193"/>
    </row>
    <row r="30" spans="1:4" ht="15" customHeight="1">
      <c r="A30" s="30"/>
      <c r="B30" s="30"/>
      <c r="C30" s="31"/>
      <c r="D30" s="30"/>
    </row>
    <row r="31" spans="1:4" ht="24.75" customHeight="1">
      <c r="A31" s="30" t="s">
        <v>873</v>
      </c>
      <c r="B31" s="30" t="s">
        <v>570</v>
      </c>
      <c r="C31" s="31">
        <f>SUM(C32:C34)</f>
        <v>133934167391</v>
      </c>
      <c r="D31" s="188">
        <f>C31/$C$41*100</f>
        <v>24.669070763163347</v>
      </c>
    </row>
    <row r="32" spans="1:4" ht="24.75" customHeight="1">
      <c r="A32" s="30"/>
      <c r="B32" s="376" t="s">
        <v>571</v>
      </c>
      <c r="C32" s="31">
        <f>8481000000+1846657023+6586000000+8282000000+7099000000+15153000000+5972497180+8600000000+3614000000+7761112000+6512000000</f>
        <v>79907266203</v>
      </c>
      <c r="D32" s="188">
        <f>C32/$C$41*100</f>
        <v>14.71796213656232</v>
      </c>
    </row>
    <row r="33" spans="1:4" ht="24.75" customHeight="1">
      <c r="A33" s="30"/>
      <c r="B33" s="376" t="s">
        <v>572</v>
      </c>
      <c r="C33" s="31">
        <f>325716000+272400000+580248000+443508000+1814562000+3212130624+106869000+635604000+810564+722328000</f>
        <v>8114176188</v>
      </c>
      <c r="D33" s="188">
        <f>C33/$C$41*100</f>
        <v>1.4945341466317863</v>
      </c>
    </row>
    <row r="34" spans="1:4" ht="24.75" customHeight="1">
      <c r="A34" s="30"/>
      <c r="B34" s="376" t="s">
        <v>947</v>
      </c>
      <c r="C34" s="31">
        <v>45912725000</v>
      </c>
      <c r="D34" s="188">
        <f>C34/$C$41*100</f>
        <v>8.45657447996924</v>
      </c>
    </row>
    <row r="35" spans="1:4" ht="15" customHeight="1">
      <c r="A35" s="30"/>
      <c r="B35" s="30"/>
      <c r="C35" s="31"/>
      <c r="D35" s="30"/>
    </row>
    <row r="36" spans="1:6" ht="24.75" customHeight="1">
      <c r="A36" s="30" t="s">
        <v>903</v>
      </c>
      <c r="B36" s="30" t="s">
        <v>270</v>
      </c>
      <c r="C36" s="31">
        <f>2663000000+2663000000+2663000000+2663000000+9408066000+664368000</f>
        <v>20724434000</v>
      </c>
      <c r="D36" s="188">
        <f>C36/$C$41*100</f>
        <v>3.8171927211074235</v>
      </c>
      <c r="F36" s="193"/>
    </row>
    <row r="37" spans="1:4" ht="15" customHeight="1">
      <c r="A37" s="30"/>
      <c r="B37" s="30"/>
      <c r="C37" s="31"/>
      <c r="D37" s="30"/>
    </row>
    <row r="38" spans="1:4" ht="24.75" customHeight="1">
      <c r="A38" s="30" t="s">
        <v>904</v>
      </c>
      <c r="B38" s="30" t="s">
        <v>130</v>
      </c>
      <c r="C38" s="31">
        <f>C39</f>
        <v>2050092000</v>
      </c>
      <c r="D38" s="188">
        <f>C38/$C$41*100</f>
        <v>0.3776024117233098</v>
      </c>
    </row>
    <row r="39" spans="1:4" ht="24.75" customHeight="1">
      <c r="A39" s="33"/>
      <c r="B39" s="30" t="s">
        <v>33</v>
      </c>
      <c r="C39" s="31">
        <f>2050092000</f>
        <v>2050092000</v>
      </c>
      <c r="D39" s="188">
        <f>C39/$C$41*100</f>
        <v>0.3776024117233098</v>
      </c>
    </row>
    <row r="40" spans="1:4" ht="15" customHeight="1">
      <c r="A40" s="34"/>
      <c r="B40" s="35"/>
      <c r="C40" s="36"/>
      <c r="D40" s="35"/>
    </row>
    <row r="41" spans="1:4" ht="24.75" customHeight="1">
      <c r="A41" s="750" t="s">
        <v>131</v>
      </c>
      <c r="B41" s="751"/>
      <c r="C41" s="36">
        <f>C13+C29+C31+C36+C38</f>
        <v>542923439139</v>
      </c>
      <c r="D41" s="30">
        <f>C41/$C$41*100</f>
        <v>100</v>
      </c>
    </row>
    <row r="42" spans="1:4" ht="24.75" customHeight="1">
      <c r="A42" s="29"/>
      <c r="B42" s="61"/>
      <c r="C42" s="330"/>
      <c r="D42" s="340"/>
    </row>
    <row r="43" spans="1:4" ht="24.75" customHeight="1">
      <c r="A43" s="748" t="s">
        <v>954</v>
      </c>
      <c r="B43" s="749"/>
      <c r="C43" s="539">
        <f>609155563433+554549756780+641429603652+355427134537+771965700000+394100576278+665615234950+428987674773+706316456600+10712112000+553273788370+465619523661+1699140541860.32</f>
        <v>7856293666894.32</v>
      </c>
      <c r="D43" s="341"/>
    </row>
    <row r="44" spans="1:4" ht="24.75" customHeight="1">
      <c r="A44" s="330"/>
      <c r="B44" s="342"/>
      <c r="C44" s="343"/>
      <c r="D44" s="341"/>
    </row>
    <row r="45" spans="1:4" ht="24.75" customHeight="1">
      <c r="A45" s="748" t="s">
        <v>955</v>
      </c>
      <c r="B45" s="749"/>
      <c r="C45" s="343"/>
      <c r="D45" s="236">
        <f>C13/C43*100</f>
        <v>4.645365939487216</v>
      </c>
    </row>
    <row r="46" spans="1:4" ht="24.75" customHeight="1">
      <c r="A46" s="330"/>
      <c r="B46" s="342"/>
      <c r="C46" s="344"/>
      <c r="D46" s="345"/>
    </row>
    <row r="47" spans="1:4" ht="24.75" customHeight="1" thickBot="1">
      <c r="A47" s="746" t="s">
        <v>506</v>
      </c>
      <c r="B47" s="747"/>
      <c r="C47" s="346">
        <f>C43/1!G27/1000</f>
        <v>3597.7509707951576</v>
      </c>
      <c r="D47" s="207"/>
    </row>
    <row r="48" spans="1:4" s="133" customFormat="1" ht="15">
      <c r="A48" s="73"/>
      <c r="B48" s="73"/>
      <c r="C48" s="73"/>
      <c r="D48" s="73"/>
    </row>
    <row r="49" ht="15">
      <c r="A49" s="14" t="s">
        <v>957</v>
      </c>
    </row>
    <row r="50" spans="2:4" ht="15">
      <c r="B50" s="14" t="s">
        <v>958</v>
      </c>
      <c r="D50" s="511"/>
    </row>
    <row r="51" ht="15">
      <c r="B51" s="14" t="s">
        <v>963</v>
      </c>
    </row>
  </sheetData>
  <mergeCells count="9">
    <mergeCell ref="A5:D5"/>
    <mergeCell ref="A3:D3"/>
    <mergeCell ref="A47:B47"/>
    <mergeCell ref="A45:B45"/>
    <mergeCell ref="A7:A8"/>
    <mergeCell ref="B7:B8"/>
    <mergeCell ref="A41:B41"/>
    <mergeCell ref="A43:B43"/>
    <mergeCell ref="A4:D4"/>
  </mergeCells>
  <printOptions horizontalCentered="1"/>
  <pageMargins left="0.9055118110236221" right="0.31496062992125984" top="0.7874015748031497" bottom="0.7874015748031497" header="0" footer="0.7874015748031497"/>
  <pageSetup horizontalDpi="300" verticalDpi="300" orientation="portrait" paperSize="9" scale="70" r:id="rId1"/>
  <headerFooter alignWithMargins="0">
    <oddFooter>&amp;C117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53"/>
  <dimension ref="A1:J33"/>
  <sheetViews>
    <sheetView zoomScale="75" zoomScaleNormal="75" workbookViewId="0" topLeftCell="A1">
      <selection activeCell="A4" sqref="A4:I4"/>
    </sheetView>
  </sheetViews>
  <sheetFormatPr defaultColWidth="9.140625" defaultRowHeight="12.75"/>
  <cols>
    <col min="1" max="1" width="5.7109375" style="14" customWidth="1"/>
    <col min="2" max="2" width="43.7109375" style="14" customWidth="1"/>
    <col min="3" max="9" width="16.7109375" style="14" customWidth="1"/>
    <col min="10" max="10" width="15.7109375" style="14" customWidth="1"/>
    <col min="11" max="16384" width="9.140625" style="14" customWidth="1"/>
  </cols>
  <sheetData>
    <row r="1" spans="1:7" ht="15">
      <c r="A1" s="13" t="s">
        <v>499</v>
      </c>
      <c r="B1" s="42"/>
      <c r="C1" s="42"/>
      <c r="D1" s="42"/>
      <c r="E1" s="42"/>
      <c r="F1" s="42"/>
      <c r="G1" s="42"/>
    </row>
    <row r="2" spans="1:9" ht="15">
      <c r="A2" s="641" t="s">
        <v>400</v>
      </c>
      <c r="B2" s="641"/>
      <c r="C2" s="641"/>
      <c r="D2" s="641"/>
      <c r="E2" s="641"/>
      <c r="F2" s="641"/>
      <c r="G2" s="641"/>
      <c r="H2" s="641"/>
      <c r="I2" s="641"/>
    </row>
    <row r="3" spans="1:9" ht="15">
      <c r="A3" s="641" t="str">
        <f>1!A5</f>
        <v>PROVINSI KALIMANTAN TENGAH</v>
      </c>
      <c r="B3" s="641"/>
      <c r="C3" s="641"/>
      <c r="D3" s="641"/>
      <c r="E3" s="641"/>
      <c r="F3" s="641"/>
      <c r="G3" s="641"/>
      <c r="H3" s="641"/>
      <c r="I3" s="641"/>
    </row>
    <row r="4" spans="1:9" ht="15">
      <c r="A4" s="641" t="str">
        <f>1!A6</f>
        <v>TAHUN 2009</v>
      </c>
      <c r="B4" s="641"/>
      <c r="C4" s="641"/>
      <c r="D4" s="641"/>
      <c r="E4" s="641"/>
      <c r="F4" s="641"/>
      <c r="G4" s="641"/>
      <c r="H4" s="641"/>
      <c r="I4" s="641"/>
    </row>
    <row r="5" ht="15.75" thickBot="1">
      <c r="A5" s="18"/>
    </row>
    <row r="6" spans="1:9" ht="19.5" customHeight="1">
      <c r="A6" s="634" t="s">
        <v>2</v>
      </c>
      <c r="B6" s="547" t="s">
        <v>401</v>
      </c>
      <c r="C6" s="44" t="s">
        <v>402</v>
      </c>
      <c r="D6" s="44"/>
      <c r="E6" s="44"/>
      <c r="F6" s="44"/>
      <c r="G6" s="44"/>
      <c r="H6" s="44"/>
      <c r="I6" s="257"/>
    </row>
    <row r="7" spans="1:9" ht="39" customHeight="1">
      <c r="A7" s="636"/>
      <c r="B7" s="560"/>
      <c r="C7" s="210" t="s">
        <v>403</v>
      </c>
      <c r="D7" s="210" t="s">
        <v>509</v>
      </c>
      <c r="E7" s="210" t="s">
        <v>404</v>
      </c>
      <c r="F7" s="11" t="s">
        <v>405</v>
      </c>
      <c r="G7" s="11" t="s">
        <v>406</v>
      </c>
      <c r="H7" s="11" t="s">
        <v>407</v>
      </c>
      <c r="I7" s="11" t="s">
        <v>21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22"/>
      <c r="B9" s="22"/>
      <c r="C9" s="22"/>
      <c r="D9" s="22"/>
      <c r="E9" s="22"/>
      <c r="F9" s="22"/>
      <c r="G9" s="22"/>
      <c r="H9" s="22"/>
      <c r="I9" s="22"/>
    </row>
    <row r="10" spans="1:9" ht="16.5" customHeight="1">
      <c r="A10" s="30">
        <v>1</v>
      </c>
      <c r="B10" s="30" t="s">
        <v>233</v>
      </c>
      <c r="C10" s="62">
        <v>0</v>
      </c>
      <c r="D10" s="62">
        <v>0</v>
      </c>
      <c r="E10" s="62">
        <f>14+1</f>
        <v>15</v>
      </c>
      <c r="F10" s="62">
        <v>2</v>
      </c>
      <c r="G10" s="62">
        <v>0</v>
      </c>
      <c r="H10" s="62">
        <v>0</v>
      </c>
      <c r="I10" s="62">
        <f>SUM(C10:H10)</f>
        <v>17</v>
      </c>
    </row>
    <row r="11" spans="1:9" ht="16.5" customHeight="1">
      <c r="A11" s="30">
        <v>2</v>
      </c>
      <c r="B11" s="30" t="s">
        <v>234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f aca="true" t="shared" si="0" ref="I11:I31">SUM(C11:H11)</f>
        <v>0</v>
      </c>
    </row>
    <row r="12" spans="1:9" ht="16.5" customHeight="1">
      <c r="A12" s="30">
        <v>3</v>
      </c>
      <c r="B12" s="30" t="s">
        <v>408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f t="shared" si="0"/>
        <v>0</v>
      </c>
    </row>
    <row r="13" spans="1:9" ht="16.5" customHeight="1">
      <c r="A13" s="30">
        <v>4</v>
      </c>
      <c r="B13" s="30" t="s">
        <v>409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f>SUM(C13:H13)</f>
        <v>0</v>
      </c>
    </row>
    <row r="14" spans="1:9" ht="16.5" customHeight="1">
      <c r="A14" s="30">
        <v>5</v>
      </c>
      <c r="B14" s="30" t="s">
        <v>531</v>
      </c>
      <c r="C14" s="62"/>
      <c r="D14" s="62"/>
      <c r="E14" s="63">
        <f>5+3+6+4+6+2+5+6+5+5+4+5+1</f>
        <v>57</v>
      </c>
      <c r="F14" s="63"/>
      <c r="G14" s="63"/>
      <c r="H14" s="63"/>
      <c r="I14" s="62">
        <f t="shared" si="0"/>
        <v>57</v>
      </c>
    </row>
    <row r="15" spans="1:10" ht="16.5" customHeight="1">
      <c r="A15" s="30">
        <v>6</v>
      </c>
      <c r="B15" s="30" t="s">
        <v>532</v>
      </c>
      <c r="C15" s="62"/>
      <c r="D15" s="62"/>
      <c r="E15" s="63">
        <f>10+6+5+9+9+3+9+3+13+18+8+4+10+10</f>
        <v>117</v>
      </c>
      <c r="F15" s="63"/>
      <c r="G15" s="63"/>
      <c r="H15" s="63"/>
      <c r="I15" s="62">
        <f t="shared" si="0"/>
        <v>117</v>
      </c>
      <c r="J15" s="469"/>
    </row>
    <row r="16" spans="1:9" ht="16.5" customHeight="1">
      <c r="A16" s="30">
        <v>7</v>
      </c>
      <c r="B16" s="30" t="s">
        <v>411</v>
      </c>
      <c r="C16" s="62">
        <v>0</v>
      </c>
      <c r="D16" s="62">
        <v>0</v>
      </c>
      <c r="E16" s="63">
        <f>14+20+18+4+23+9+18+23+12+12+14+10</f>
        <v>177</v>
      </c>
      <c r="F16" s="63">
        <v>0</v>
      </c>
      <c r="G16" s="63">
        <v>0</v>
      </c>
      <c r="H16" s="63">
        <v>0</v>
      </c>
      <c r="I16" s="62">
        <f t="shared" si="0"/>
        <v>177</v>
      </c>
    </row>
    <row r="17" spans="1:9" ht="16.5" customHeight="1">
      <c r="A17" s="30">
        <v>8</v>
      </c>
      <c r="B17" s="30" t="s">
        <v>410</v>
      </c>
      <c r="C17" s="62">
        <v>0</v>
      </c>
      <c r="D17" s="62">
        <v>0</v>
      </c>
      <c r="E17" s="63">
        <f>76+46+65+45+102+29+75+55+117+123+72+60+64+52</f>
        <v>981</v>
      </c>
      <c r="F17" s="63">
        <v>0</v>
      </c>
      <c r="G17" s="63">
        <v>0</v>
      </c>
      <c r="H17" s="63">
        <v>0</v>
      </c>
      <c r="I17" s="62">
        <f t="shared" si="0"/>
        <v>981</v>
      </c>
    </row>
    <row r="18" spans="1:9" ht="16.5" customHeight="1">
      <c r="A18" s="30">
        <v>9</v>
      </c>
      <c r="B18" s="30" t="s">
        <v>414</v>
      </c>
      <c r="C18" s="62">
        <v>0</v>
      </c>
      <c r="D18" s="62">
        <v>0</v>
      </c>
      <c r="E18" s="63">
        <v>0</v>
      </c>
      <c r="F18" s="63">
        <v>0</v>
      </c>
      <c r="G18" s="63">
        <v>0</v>
      </c>
      <c r="H18" s="63">
        <f>2+5+4</f>
        <v>11</v>
      </c>
      <c r="I18" s="62">
        <f t="shared" si="0"/>
        <v>11</v>
      </c>
    </row>
    <row r="19" spans="1:9" ht="16.5" customHeight="1">
      <c r="A19" s="30">
        <v>10</v>
      </c>
      <c r="B19" s="347" t="s">
        <v>415</v>
      </c>
      <c r="C19" s="62">
        <v>0</v>
      </c>
      <c r="D19" s="62">
        <v>0</v>
      </c>
      <c r="E19" s="63">
        <f>3</f>
        <v>3</v>
      </c>
      <c r="F19" s="63">
        <f>2+3+2</f>
        <v>7</v>
      </c>
      <c r="G19" s="63">
        <v>0</v>
      </c>
      <c r="H19" s="63">
        <f>2+6+1+13+6+3</f>
        <v>31</v>
      </c>
      <c r="I19" s="62">
        <f t="shared" si="0"/>
        <v>41</v>
      </c>
    </row>
    <row r="20" spans="1:9" ht="16.5" customHeight="1">
      <c r="A20" s="30">
        <v>11</v>
      </c>
      <c r="B20" s="30" t="s">
        <v>834</v>
      </c>
      <c r="C20" s="62">
        <v>0</v>
      </c>
      <c r="D20" s="62">
        <v>0</v>
      </c>
      <c r="E20" s="63">
        <f>3</f>
        <v>3</v>
      </c>
      <c r="F20" s="63">
        <v>0</v>
      </c>
      <c r="G20" s="63">
        <v>0</v>
      </c>
      <c r="H20" s="63">
        <f>1+3+1+2</f>
        <v>7</v>
      </c>
      <c r="I20" s="62">
        <f t="shared" si="0"/>
        <v>10</v>
      </c>
    </row>
    <row r="21" spans="1:9" ht="16.5" customHeight="1">
      <c r="A21" s="30">
        <v>12</v>
      </c>
      <c r="B21" s="30" t="s">
        <v>835</v>
      </c>
      <c r="C21" s="62">
        <v>0</v>
      </c>
      <c r="D21" s="62">
        <v>0</v>
      </c>
      <c r="E21" s="63">
        <f>10</f>
        <v>10</v>
      </c>
      <c r="F21" s="63">
        <v>0</v>
      </c>
      <c r="G21" s="63">
        <v>0</v>
      </c>
      <c r="H21" s="63">
        <f>34+2+54+6+68+12+9+11+20</f>
        <v>216</v>
      </c>
      <c r="I21" s="62">
        <f t="shared" si="0"/>
        <v>226</v>
      </c>
    </row>
    <row r="22" spans="1:9" ht="16.5" customHeight="1">
      <c r="A22" s="30">
        <v>13</v>
      </c>
      <c r="B22" s="18" t="s">
        <v>836</v>
      </c>
      <c r="C22" s="62"/>
      <c r="D22" s="62"/>
      <c r="E22" s="62"/>
      <c r="F22" s="62"/>
      <c r="G22" s="62"/>
      <c r="H22" s="62">
        <f>4+6+2</f>
        <v>12</v>
      </c>
      <c r="I22" s="62">
        <f t="shared" si="0"/>
        <v>12</v>
      </c>
    </row>
    <row r="23" spans="1:9" ht="16.5" customHeight="1">
      <c r="A23" s="30">
        <v>14</v>
      </c>
      <c r="B23" s="14" t="s">
        <v>413</v>
      </c>
      <c r="C23" s="523"/>
      <c r="D23" s="523"/>
      <c r="E23" s="523"/>
      <c r="F23" s="523"/>
      <c r="G23" s="523"/>
      <c r="H23" s="523"/>
      <c r="I23" s="523"/>
    </row>
    <row r="24" spans="1:9" ht="16.5" customHeight="1">
      <c r="A24" s="30">
        <v>15</v>
      </c>
      <c r="B24" s="14" t="s">
        <v>832</v>
      </c>
      <c r="C24" s="523"/>
      <c r="D24" s="523"/>
      <c r="E24" s="523"/>
      <c r="F24" s="523"/>
      <c r="G24" s="523"/>
      <c r="H24" s="523"/>
      <c r="I24" s="523"/>
    </row>
    <row r="25" spans="1:9" ht="16.5" customHeight="1">
      <c r="A25" s="30">
        <v>16</v>
      </c>
      <c r="B25" s="30" t="s">
        <v>412</v>
      </c>
      <c r="C25" s="523"/>
      <c r="D25" s="523"/>
      <c r="E25" s="523"/>
      <c r="F25" s="523"/>
      <c r="G25" s="523"/>
      <c r="H25" s="523"/>
      <c r="I25" s="523"/>
    </row>
    <row r="26" spans="1:9" ht="16.5" customHeight="1">
      <c r="A26" s="30">
        <v>17</v>
      </c>
      <c r="B26" s="30" t="s">
        <v>833</v>
      </c>
      <c r="C26" s="62">
        <v>0</v>
      </c>
      <c r="D26" s="62">
        <v>0</v>
      </c>
      <c r="E26" s="62">
        <f>4+1+1+3+2</f>
        <v>11</v>
      </c>
      <c r="F26" s="62">
        <v>0</v>
      </c>
      <c r="G26" s="62">
        <f>3</f>
        <v>3</v>
      </c>
      <c r="H26" s="62">
        <f>4+53+3+5+2+14+2+17+11+5+3+3</f>
        <v>122</v>
      </c>
      <c r="I26" s="62">
        <f t="shared" si="0"/>
        <v>136</v>
      </c>
    </row>
    <row r="27" spans="1:9" ht="16.5" customHeight="1">
      <c r="A27" s="30">
        <v>18</v>
      </c>
      <c r="B27" s="250" t="s">
        <v>416</v>
      </c>
      <c r="C27" s="62">
        <v>0</v>
      </c>
      <c r="D27" s="62">
        <v>0</v>
      </c>
      <c r="E27" s="62">
        <f>4+12</f>
        <v>16</v>
      </c>
      <c r="F27" s="62">
        <v>0</v>
      </c>
      <c r="G27" s="62">
        <v>0</v>
      </c>
      <c r="H27" s="62">
        <f>7+28+3+16+5+18+123+9+8+7+5</f>
        <v>229</v>
      </c>
      <c r="I27" s="62">
        <f t="shared" si="0"/>
        <v>245</v>
      </c>
    </row>
    <row r="28" spans="1:9" ht="16.5" customHeight="1">
      <c r="A28" s="30">
        <v>19</v>
      </c>
      <c r="B28" s="30" t="s">
        <v>417</v>
      </c>
      <c r="C28" s="62">
        <v>0</v>
      </c>
      <c r="D28" s="62">
        <v>0</v>
      </c>
      <c r="E28" s="62">
        <f>1+1+1+1+1+1+1+1+1+1+1+1</f>
        <v>12</v>
      </c>
      <c r="F28" s="62">
        <v>0</v>
      </c>
      <c r="G28" s="62">
        <v>0</v>
      </c>
      <c r="H28" s="62">
        <f>3</f>
        <v>3</v>
      </c>
      <c r="I28" s="62">
        <f t="shared" si="0"/>
        <v>15</v>
      </c>
    </row>
    <row r="29" spans="1:9" ht="16.5" customHeight="1">
      <c r="A29" s="30">
        <v>20</v>
      </c>
      <c r="B29" s="30" t="s">
        <v>507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f t="shared" si="0"/>
        <v>0</v>
      </c>
    </row>
    <row r="30" spans="1:9" ht="16.5" customHeight="1">
      <c r="A30" s="30">
        <v>21</v>
      </c>
      <c r="B30" s="250" t="s">
        <v>508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f t="shared" si="0"/>
        <v>0</v>
      </c>
    </row>
    <row r="31" spans="1:9" ht="15.75" thickBot="1">
      <c r="A31" s="39">
        <v>22</v>
      </c>
      <c r="B31" s="39" t="s">
        <v>32</v>
      </c>
      <c r="C31" s="524">
        <v>0</v>
      </c>
      <c r="D31" s="524">
        <v>0</v>
      </c>
      <c r="E31" s="524">
        <v>0</v>
      </c>
      <c r="F31" s="524">
        <v>0</v>
      </c>
      <c r="G31" s="524">
        <v>0</v>
      </c>
      <c r="H31" s="524">
        <f>8</f>
        <v>8</v>
      </c>
      <c r="I31" s="524">
        <f t="shared" si="0"/>
        <v>8</v>
      </c>
    </row>
    <row r="33" ht="15">
      <c r="A33" s="14" t="s">
        <v>243</v>
      </c>
    </row>
  </sheetData>
  <mergeCells count="5">
    <mergeCell ref="A2:I2"/>
    <mergeCell ref="A3:I3"/>
    <mergeCell ref="A4:I4"/>
    <mergeCell ref="A6:A7"/>
    <mergeCell ref="B6:B7"/>
  </mergeCells>
  <printOptions horizontalCentered="1"/>
  <pageMargins left="1.6929133858267718" right="0.9055118110236221" top="1.141732283464567" bottom="0.9055118110236221" header="0" footer="0.7874015748031497"/>
  <pageSetup horizontalDpi="300" verticalDpi="300" orientation="landscape" paperSize="9" scale="70" r:id="rId1"/>
  <headerFooter alignWithMargins="0">
    <oddFooter>&amp;C118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workbookViewId="0" topLeftCell="A1">
      <selection activeCell="A5" sqref="A5:G5"/>
    </sheetView>
  </sheetViews>
  <sheetFormatPr defaultColWidth="9.140625" defaultRowHeight="12.75"/>
  <cols>
    <col min="1" max="1" width="5.7109375" style="14" customWidth="1"/>
    <col min="2" max="2" width="30.7109375" style="14" customWidth="1"/>
    <col min="3" max="7" width="20.7109375" style="14" customWidth="1"/>
    <col min="8" max="10" width="15.7109375" style="14" customWidth="1"/>
    <col min="11" max="16384" width="9.140625" style="14" customWidth="1"/>
  </cols>
  <sheetData>
    <row r="1" ht="15">
      <c r="A1" s="13" t="s">
        <v>432</v>
      </c>
    </row>
    <row r="2" ht="15">
      <c r="A2" s="14" t="s">
        <v>1</v>
      </c>
    </row>
    <row r="3" spans="1:10" ht="15">
      <c r="A3" s="641" t="s">
        <v>488</v>
      </c>
      <c r="B3" s="641"/>
      <c r="C3" s="641"/>
      <c r="D3" s="641"/>
      <c r="E3" s="641"/>
      <c r="F3" s="641"/>
      <c r="G3" s="641"/>
      <c r="H3" s="42"/>
      <c r="I3" s="42"/>
      <c r="J3" s="42"/>
    </row>
    <row r="4" spans="1:10" ht="15">
      <c r="A4" s="641" t="str">
        <f>1!A5</f>
        <v>PROVINSI KALIMANTAN TENGAH</v>
      </c>
      <c r="B4" s="641"/>
      <c r="C4" s="641"/>
      <c r="D4" s="641"/>
      <c r="E4" s="641"/>
      <c r="F4" s="641"/>
      <c r="G4" s="641"/>
      <c r="H4" s="15"/>
      <c r="I4" s="15"/>
      <c r="J4" s="15"/>
    </row>
    <row r="5" spans="1:10" ht="15">
      <c r="A5" s="641" t="str">
        <f>1!A6</f>
        <v>TAHUN 2009</v>
      </c>
      <c r="B5" s="641"/>
      <c r="C5" s="641"/>
      <c r="D5" s="641"/>
      <c r="E5" s="641"/>
      <c r="F5" s="641"/>
      <c r="G5" s="641"/>
      <c r="H5" s="16"/>
      <c r="I5" s="16"/>
      <c r="J5" s="16"/>
    </row>
    <row r="6" spans="1:10" ht="15.75" thickBot="1">
      <c r="A6" s="106"/>
      <c r="B6" s="106"/>
      <c r="C6" s="106"/>
      <c r="D6" s="106"/>
      <c r="E6" s="106"/>
      <c r="F6" s="106"/>
      <c r="G6" s="106"/>
      <c r="H6" s="18"/>
      <c r="I6" s="18"/>
      <c r="J6" s="18"/>
    </row>
    <row r="7" spans="1:10" ht="15">
      <c r="A7" s="634" t="s">
        <v>2</v>
      </c>
      <c r="B7" s="752" t="s">
        <v>844</v>
      </c>
      <c r="C7" s="631" t="s">
        <v>21</v>
      </c>
      <c r="D7" s="632"/>
      <c r="E7" s="632"/>
      <c r="F7" s="632"/>
      <c r="G7" s="633"/>
      <c r="H7" s="18"/>
      <c r="I7" s="18"/>
      <c r="J7" s="18"/>
    </row>
    <row r="8" spans="1:10" ht="12.75" customHeight="1">
      <c r="A8" s="635"/>
      <c r="B8" s="642"/>
      <c r="C8" s="615" t="s">
        <v>489</v>
      </c>
      <c r="D8" s="615" t="s">
        <v>490</v>
      </c>
      <c r="E8" s="559" t="s">
        <v>832</v>
      </c>
      <c r="F8" s="559" t="s">
        <v>413</v>
      </c>
      <c r="G8" s="615" t="s">
        <v>412</v>
      </c>
      <c r="H8" s="33"/>
      <c r="I8" s="18"/>
      <c r="J8" s="18"/>
    </row>
    <row r="9" spans="1:10" ht="15">
      <c r="A9" s="635"/>
      <c r="B9" s="642"/>
      <c r="C9" s="615"/>
      <c r="D9" s="615"/>
      <c r="E9" s="559"/>
      <c r="F9" s="559"/>
      <c r="G9" s="615"/>
      <c r="H9" s="33"/>
      <c r="I9" s="18"/>
      <c r="J9" s="18"/>
    </row>
    <row r="10" spans="1:10" ht="15">
      <c r="A10" s="636"/>
      <c r="B10" s="653"/>
      <c r="C10" s="616"/>
      <c r="D10" s="616"/>
      <c r="E10" s="560"/>
      <c r="F10" s="560"/>
      <c r="G10" s="616"/>
      <c r="H10" s="33"/>
      <c r="I10" s="18"/>
      <c r="J10" s="18"/>
    </row>
    <row r="11" spans="1:10" ht="15">
      <c r="A11" s="59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33"/>
      <c r="I11" s="18"/>
      <c r="J11" s="18"/>
    </row>
    <row r="12" spans="1:10" ht="15" customHeight="1">
      <c r="A12" s="138">
        <f>1!A12</f>
        <v>1</v>
      </c>
      <c r="B12" s="30" t="str">
        <f>1!B12</f>
        <v>Kotawaringin Barat</v>
      </c>
      <c r="C12" s="138">
        <f>1!F12</f>
        <v>89</v>
      </c>
      <c r="D12" s="30">
        <v>88</v>
      </c>
      <c r="E12" s="30">
        <v>32</v>
      </c>
      <c r="F12" s="31">
        <v>36</v>
      </c>
      <c r="G12" s="30">
        <f>'46'!G11</f>
        <v>159</v>
      </c>
      <c r="H12" s="33"/>
      <c r="I12" s="18"/>
      <c r="J12" s="18"/>
    </row>
    <row r="13" spans="1:10" ht="15" customHeight="1">
      <c r="A13" s="138">
        <f>1!A13</f>
        <v>2</v>
      </c>
      <c r="B13" s="30" t="str">
        <f>1!B13</f>
        <v>Lamandau</v>
      </c>
      <c r="C13" s="138">
        <f>1!F13</f>
        <v>83</v>
      </c>
      <c r="D13" s="30">
        <v>77</v>
      </c>
      <c r="E13" s="138">
        <v>35</v>
      </c>
      <c r="F13" s="139">
        <v>0</v>
      </c>
      <c r="G13" s="138">
        <f>'46'!G12</f>
        <v>87</v>
      </c>
      <c r="H13" s="477"/>
      <c r="I13" s="18"/>
      <c r="J13" s="18"/>
    </row>
    <row r="14" spans="1:7" ht="15" customHeight="1">
      <c r="A14" s="138">
        <f>1!A14</f>
        <v>3</v>
      </c>
      <c r="B14" s="30" t="str">
        <f>1!B14</f>
        <v>Sukamara</v>
      </c>
      <c r="C14" s="30">
        <f>1!F14</f>
        <v>32</v>
      </c>
      <c r="D14" s="30">
        <v>1</v>
      </c>
      <c r="E14" s="30">
        <v>7</v>
      </c>
      <c r="F14" s="139">
        <v>2</v>
      </c>
      <c r="G14" s="138">
        <f>'46'!G13</f>
        <v>45</v>
      </c>
    </row>
    <row r="15" spans="1:7" ht="15" customHeight="1">
      <c r="A15" s="138">
        <f>1!A15</f>
        <v>4</v>
      </c>
      <c r="B15" s="30" t="str">
        <f>1!B15</f>
        <v>Kotawaringin Timur</v>
      </c>
      <c r="C15" s="30">
        <f>1!F15</f>
        <v>165</v>
      </c>
      <c r="D15" s="30">
        <v>106</v>
      </c>
      <c r="E15" s="30">
        <v>30</v>
      </c>
      <c r="F15" s="31">
        <v>57</v>
      </c>
      <c r="G15" s="138">
        <f>'46'!G14</f>
        <v>262</v>
      </c>
    </row>
    <row r="16" spans="1:7" ht="15" customHeight="1">
      <c r="A16" s="138">
        <f>1!A16</f>
        <v>5</v>
      </c>
      <c r="B16" s="30" t="str">
        <f>1!B16</f>
        <v>Seruyan</v>
      </c>
      <c r="C16" s="30">
        <f>1!F16</f>
        <v>101</v>
      </c>
      <c r="D16" s="30">
        <v>9</v>
      </c>
      <c r="E16" s="138">
        <v>18</v>
      </c>
      <c r="F16" s="31">
        <v>32</v>
      </c>
      <c r="G16" s="138">
        <f>'46'!G15</f>
        <v>96</v>
      </c>
    </row>
    <row r="17" spans="1:7" ht="15" customHeight="1">
      <c r="A17" s="138">
        <f>1!A17</f>
        <v>6</v>
      </c>
      <c r="B17" s="30" t="str">
        <f>1!B17</f>
        <v>Katingan</v>
      </c>
      <c r="C17" s="30">
        <f>1!F17</f>
        <v>161</v>
      </c>
      <c r="D17" s="30">
        <v>28</v>
      </c>
      <c r="E17" s="30">
        <v>28</v>
      </c>
      <c r="F17" s="31">
        <v>69</v>
      </c>
      <c r="G17" s="138">
        <f>'46'!G16</f>
        <v>193</v>
      </c>
    </row>
    <row r="18" spans="1:7" ht="15" customHeight="1">
      <c r="A18" s="138">
        <f>1!A18</f>
        <v>7</v>
      </c>
      <c r="B18" s="30" t="str">
        <f>1!B18</f>
        <v>Kapuas</v>
      </c>
      <c r="C18" s="30">
        <f>1!F18</f>
        <v>187</v>
      </c>
      <c r="D18" s="30">
        <v>19</v>
      </c>
      <c r="E18" s="138">
        <v>49</v>
      </c>
      <c r="F18" s="139">
        <v>69</v>
      </c>
      <c r="G18" s="138">
        <f>'46'!G17</f>
        <v>329</v>
      </c>
    </row>
    <row r="19" spans="1:7" ht="15" customHeight="1">
      <c r="A19" s="138">
        <f>1!A19</f>
        <v>8</v>
      </c>
      <c r="B19" s="30" t="str">
        <f>1!B19</f>
        <v>Pulang Pisau</v>
      </c>
      <c r="C19" s="30">
        <f>1!F19</f>
        <v>97</v>
      </c>
      <c r="D19" s="30">
        <v>14</v>
      </c>
      <c r="E19" s="30">
        <v>12</v>
      </c>
      <c r="F19" s="31">
        <v>29</v>
      </c>
      <c r="G19" s="138">
        <f>'46'!G18</f>
        <v>157</v>
      </c>
    </row>
    <row r="20" spans="1:7" ht="15" customHeight="1">
      <c r="A20" s="138">
        <f>1!A20</f>
        <v>9</v>
      </c>
      <c r="B20" s="30" t="str">
        <f>1!B20</f>
        <v>Gunung Mas</v>
      </c>
      <c r="C20" s="30">
        <f>1!F20</f>
        <v>125</v>
      </c>
      <c r="D20" s="30">
        <v>27</v>
      </c>
      <c r="E20" s="30">
        <v>27</v>
      </c>
      <c r="F20" s="31">
        <v>3</v>
      </c>
      <c r="G20" s="138">
        <f>'46'!G19</f>
        <v>138</v>
      </c>
    </row>
    <row r="21" spans="1:7" ht="15" customHeight="1">
      <c r="A21" s="138">
        <f>1!A21</f>
        <v>10</v>
      </c>
      <c r="B21" s="30" t="str">
        <f>1!B21</f>
        <v>Barito Selatan</v>
      </c>
      <c r="C21" s="30">
        <f>1!F21</f>
        <v>93</v>
      </c>
      <c r="D21" s="30">
        <v>9</v>
      </c>
      <c r="E21" s="138">
        <v>44</v>
      </c>
      <c r="F21" s="139">
        <v>13</v>
      </c>
      <c r="G21" s="138">
        <f>'46'!G20</f>
        <v>147</v>
      </c>
    </row>
    <row r="22" spans="1:7" ht="15" customHeight="1">
      <c r="A22" s="138">
        <f>1!A22</f>
        <v>11</v>
      </c>
      <c r="B22" s="30" t="str">
        <f>1!B22</f>
        <v>Barito Timur</v>
      </c>
      <c r="C22" s="30">
        <f>1!F22</f>
        <v>105</v>
      </c>
      <c r="D22" s="30">
        <v>40</v>
      </c>
      <c r="E22" s="138">
        <v>40</v>
      </c>
      <c r="F22" s="139">
        <v>61</v>
      </c>
      <c r="G22" s="138">
        <f>'46'!G21</f>
        <v>160</v>
      </c>
    </row>
    <row r="23" spans="1:7" ht="15" customHeight="1">
      <c r="A23" s="138">
        <f>1!A23</f>
        <v>12</v>
      </c>
      <c r="B23" s="30" t="str">
        <f>1!B23</f>
        <v>Barito Utara</v>
      </c>
      <c r="C23" s="30">
        <f>1!F23</f>
        <v>103</v>
      </c>
      <c r="D23" s="30">
        <v>11</v>
      </c>
      <c r="E23" s="30">
        <v>10</v>
      </c>
      <c r="F23" s="139">
        <v>10</v>
      </c>
      <c r="G23" s="138">
        <f>'46'!G22</f>
        <v>178</v>
      </c>
    </row>
    <row r="24" spans="1:7" ht="15" customHeight="1">
      <c r="A24" s="138">
        <f>1!A24</f>
        <v>13</v>
      </c>
      <c r="B24" s="30" t="str">
        <f>1!B24</f>
        <v>Murung Raya</v>
      </c>
      <c r="C24" s="30">
        <f>1!F24</f>
        <v>124</v>
      </c>
      <c r="D24" s="30">
        <v>0</v>
      </c>
      <c r="E24" s="30">
        <v>3</v>
      </c>
      <c r="F24" s="31">
        <v>0</v>
      </c>
      <c r="G24" s="138">
        <f>'46'!G23</f>
        <v>156</v>
      </c>
    </row>
    <row r="25" spans="1:7" ht="15" customHeight="1">
      <c r="A25" s="138">
        <f>1!A25</f>
        <v>14</v>
      </c>
      <c r="B25" s="30" t="str">
        <f>1!B25</f>
        <v>Palangka Raya</v>
      </c>
      <c r="C25" s="30">
        <f>1!F25</f>
        <v>30</v>
      </c>
      <c r="D25" s="30">
        <v>4</v>
      </c>
      <c r="E25" s="30">
        <v>0</v>
      </c>
      <c r="F25" s="31">
        <v>13</v>
      </c>
      <c r="G25" s="138">
        <f>'46'!G24</f>
        <v>128</v>
      </c>
    </row>
    <row r="26" spans="1:7" ht="15" customHeight="1">
      <c r="A26" s="30"/>
      <c r="B26" s="30"/>
      <c r="C26" s="30"/>
      <c r="D26" s="30"/>
      <c r="E26" s="30"/>
      <c r="F26" s="31"/>
      <c r="G26" s="30"/>
    </row>
    <row r="27" spans="1:7" ht="19.5" customHeight="1" thickBot="1">
      <c r="A27" s="165" t="s">
        <v>859</v>
      </c>
      <c r="B27" s="37"/>
      <c r="C27" s="72">
        <f>SUM(C12:C25)</f>
        <v>1495</v>
      </c>
      <c r="D27" s="72">
        <f>SUM(D12:D25)</f>
        <v>433</v>
      </c>
      <c r="E27" s="72">
        <f>SUM(E12:E25)</f>
        <v>335</v>
      </c>
      <c r="F27" s="72">
        <f>SUM(F12:F25)</f>
        <v>394</v>
      </c>
      <c r="G27" s="72">
        <f>SUM(G12:G25)</f>
        <v>2235</v>
      </c>
    </row>
    <row r="28" spans="1:10" ht="15">
      <c r="A28" s="18"/>
      <c r="B28" s="348"/>
      <c r="C28" s="18"/>
      <c r="D28" s="18"/>
      <c r="E28" s="18"/>
      <c r="F28" s="18"/>
      <c r="G28" s="18"/>
      <c r="H28" s="18"/>
      <c r="I28" s="18"/>
      <c r="J28" s="18"/>
    </row>
    <row r="29" ht="15">
      <c r="A29" s="14" t="s">
        <v>243</v>
      </c>
    </row>
    <row r="30" spans="4:7" ht="15">
      <c r="D30" s="469"/>
      <c r="G30" s="511"/>
    </row>
  </sheetData>
  <mergeCells count="11">
    <mergeCell ref="E8:E10"/>
    <mergeCell ref="A3:G3"/>
    <mergeCell ref="A4:G4"/>
    <mergeCell ref="A5:G5"/>
    <mergeCell ref="A7:A10"/>
    <mergeCell ref="B7:B10"/>
    <mergeCell ref="C7:G7"/>
    <mergeCell ref="G8:G10"/>
    <mergeCell ref="C8:C10"/>
    <mergeCell ref="D8:D10"/>
    <mergeCell ref="F8:F10"/>
  </mergeCells>
  <printOptions horizontalCentered="1"/>
  <pageMargins left="1.6929133858267718" right="0.9055118110236221" top="1.141732283464567" bottom="0.9055118110236221" header="0" footer="0.7874015748031497"/>
  <pageSetup horizontalDpi="300" verticalDpi="300" orientation="landscape" paperSize="9" scale="80" r:id="rId1"/>
  <headerFooter alignWithMargins="0">
    <oddFooter>&amp;C119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M32"/>
  <sheetViews>
    <sheetView view="pageBreakPreview" zoomScale="60" zoomScaleNormal="75" workbookViewId="0" topLeftCell="A1">
      <selection activeCell="G38" sqref="G38"/>
    </sheetView>
  </sheetViews>
  <sheetFormatPr defaultColWidth="9.140625" defaultRowHeight="12.75"/>
  <cols>
    <col min="1" max="1" width="5.7109375" style="14" customWidth="1"/>
    <col min="2" max="2" width="30.7109375" style="14" customWidth="1"/>
    <col min="3" max="3" width="21.7109375" style="14" customWidth="1"/>
    <col min="4" max="8" width="15.7109375" style="14" customWidth="1"/>
    <col min="9" max="13" width="10.7109375" style="14" customWidth="1"/>
    <col min="14" max="16384" width="9.140625" style="14" customWidth="1"/>
  </cols>
  <sheetData>
    <row r="1" ht="15">
      <c r="A1" s="13" t="s">
        <v>483</v>
      </c>
    </row>
    <row r="3" spans="1:13" ht="15">
      <c r="A3" s="641" t="s">
        <v>419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</row>
    <row r="4" spans="1:13" ht="15">
      <c r="A4" s="641" t="str">
        <f>1!A5</f>
        <v>PROVINSI KALIMANTAN TENGAH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</row>
    <row r="5" spans="1:13" ht="15">
      <c r="A5" s="641" t="str">
        <f>1!A6</f>
        <v>TAHUN 2009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</row>
    <row r="6" spans="1:13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24" customHeight="1">
      <c r="A8" s="637" t="s">
        <v>2</v>
      </c>
      <c r="B8" s="634" t="s">
        <v>523</v>
      </c>
      <c r="C8" s="20" t="s">
        <v>837</v>
      </c>
      <c r="D8" s="649" t="s">
        <v>420</v>
      </c>
      <c r="E8" s="580" t="s">
        <v>485</v>
      </c>
      <c r="F8" s="581"/>
      <c r="G8" s="556"/>
      <c r="H8" s="649" t="s">
        <v>484</v>
      </c>
      <c r="I8" s="649" t="s">
        <v>421</v>
      </c>
      <c r="J8" s="649" t="s">
        <v>422</v>
      </c>
      <c r="K8" s="649" t="s">
        <v>423</v>
      </c>
      <c r="L8" s="649" t="s">
        <v>424</v>
      </c>
      <c r="M8" s="649" t="s">
        <v>425</v>
      </c>
    </row>
    <row r="9" spans="1:13" ht="30" customHeight="1">
      <c r="A9" s="639"/>
      <c r="B9" s="636"/>
      <c r="C9" s="27" t="s">
        <v>838</v>
      </c>
      <c r="D9" s="616"/>
      <c r="E9" s="356" t="s">
        <v>525</v>
      </c>
      <c r="F9" s="356" t="s">
        <v>486</v>
      </c>
      <c r="G9" s="349" t="s">
        <v>487</v>
      </c>
      <c r="H9" s="616"/>
      <c r="I9" s="616"/>
      <c r="J9" s="616"/>
      <c r="K9" s="616"/>
      <c r="L9" s="616"/>
      <c r="M9" s="616"/>
    </row>
    <row r="10" spans="1:13" ht="15">
      <c r="A10" s="59">
        <v>1</v>
      </c>
      <c r="B10" s="29">
        <v>2</v>
      </c>
      <c r="C10" s="59">
        <v>3</v>
      </c>
      <c r="D10" s="29">
        <v>4</v>
      </c>
      <c r="E10" s="11">
        <v>5</v>
      </c>
      <c r="F10" s="29">
        <v>6</v>
      </c>
      <c r="G10" s="11">
        <v>7</v>
      </c>
      <c r="H10" s="29">
        <v>8</v>
      </c>
      <c r="I10" s="11">
        <v>9</v>
      </c>
      <c r="J10" s="29">
        <v>10</v>
      </c>
      <c r="K10" s="11">
        <v>11</v>
      </c>
      <c r="L10" s="29">
        <v>12</v>
      </c>
      <c r="M10" s="11">
        <v>13</v>
      </c>
    </row>
    <row r="11" spans="1:13" ht="15" customHeight="1">
      <c r="A11" s="138">
        <f>'55'!A28</f>
        <v>1</v>
      </c>
      <c r="B11" s="18" t="str">
        <f>'55'!B28</f>
        <v>Dr. St. Imanuddin</v>
      </c>
      <c r="C11" s="138" t="s">
        <v>905</v>
      </c>
      <c r="D11" s="186">
        <v>112</v>
      </c>
      <c r="E11" s="186">
        <v>9648</v>
      </c>
      <c r="F11" s="186">
        <v>289</v>
      </c>
      <c r="G11" s="186">
        <v>126</v>
      </c>
      <c r="H11" s="186">
        <v>34523</v>
      </c>
      <c r="I11" s="350">
        <f>H11/(D11*365)*100</f>
        <v>84.44960861056752</v>
      </c>
      <c r="J11" s="351">
        <f>H11/E11</f>
        <v>3.57825456053068</v>
      </c>
      <c r="K11" s="350">
        <f>((D11*365)-H11)/E11</f>
        <v>0.6588930348258707</v>
      </c>
      <c r="L11" s="351">
        <f>F11/E11*1000</f>
        <v>29.954394693200662</v>
      </c>
      <c r="M11" s="351">
        <f>G11/E11*1000</f>
        <v>13.059701492537313</v>
      </c>
    </row>
    <row r="12" spans="1:13" ht="15" customHeight="1">
      <c r="A12" s="138">
        <f>'55'!A29</f>
        <v>2</v>
      </c>
      <c r="B12" s="18" t="str">
        <f>'55'!B29</f>
        <v>Lamandau</v>
      </c>
      <c r="C12" s="138" t="s">
        <v>905</v>
      </c>
      <c r="D12" s="186">
        <v>17</v>
      </c>
      <c r="E12" s="186">
        <v>997</v>
      </c>
      <c r="F12" s="186">
        <v>25</v>
      </c>
      <c r="G12" s="186">
        <v>11</v>
      </c>
      <c r="H12" s="186">
        <v>3103</v>
      </c>
      <c r="I12" s="352">
        <f aca="true" t="shared" si="0" ref="I12:I25">H12/(D12*365)*100</f>
        <v>50.00805801772764</v>
      </c>
      <c r="J12" s="353">
        <f aca="true" t="shared" si="1" ref="J12:J25">H12/E12</f>
        <v>3.1123370110330995</v>
      </c>
      <c r="K12" s="352">
        <f aca="true" t="shared" si="2" ref="K12:K25">((D12*365)-H12)/E12</f>
        <v>3.111334002006018</v>
      </c>
      <c r="L12" s="353">
        <f aca="true" t="shared" si="3" ref="L12:L25">F12/E12*1000</f>
        <v>25.075225677031096</v>
      </c>
      <c r="M12" s="353">
        <f aca="true" t="shared" si="4" ref="M12:M25">G12/E12*1000</f>
        <v>11.033099297893681</v>
      </c>
    </row>
    <row r="13" spans="1:13" ht="15" customHeight="1">
      <c r="A13" s="138">
        <f>'55'!A30</f>
        <v>3</v>
      </c>
      <c r="B13" s="18" t="str">
        <f>'55'!B30</f>
        <v>Sukamara</v>
      </c>
      <c r="C13" s="138" t="s">
        <v>905</v>
      </c>
      <c r="D13" s="186">
        <v>25</v>
      </c>
      <c r="E13" s="186">
        <v>657</v>
      </c>
      <c r="F13" s="186">
        <v>18</v>
      </c>
      <c r="G13" s="186">
        <v>3</v>
      </c>
      <c r="H13" s="186">
        <v>1889</v>
      </c>
      <c r="I13" s="352">
        <f t="shared" si="0"/>
        <v>20.7013698630137</v>
      </c>
      <c r="J13" s="353">
        <f t="shared" si="1"/>
        <v>2.8751902587519025</v>
      </c>
      <c r="K13" s="352">
        <f t="shared" si="2"/>
        <v>11.013698630136986</v>
      </c>
      <c r="L13" s="353">
        <f t="shared" si="3"/>
        <v>27.397260273972602</v>
      </c>
      <c r="M13" s="353">
        <f t="shared" si="4"/>
        <v>4.5662100456621</v>
      </c>
    </row>
    <row r="14" spans="1:13" ht="15" customHeight="1">
      <c r="A14" s="138">
        <f>'55'!A31</f>
        <v>4</v>
      </c>
      <c r="B14" s="18" t="str">
        <f>'55'!B31</f>
        <v>Dr. Murjani</v>
      </c>
      <c r="C14" s="138" t="s">
        <v>905</v>
      </c>
      <c r="D14" s="186">
        <v>177</v>
      </c>
      <c r="E14" s="186">
        <v>10854</v>
      </c>
      <c r="F14" s="186">
        <v>452</v>
      </c>
      <c r="G14" s="186">
        <v>227</v>
      </c>
      <c r="H14" s="186">
        <v>42345</v>
      </c>
      <c r="I14" s="352">
        <f t="shared" si="0"/>
        <v>65.54446250290226</v>
      </c>
      <c r="J14" s="353">
        <f t="shared" si="1"/>
        <v>3.9013266998341627</v>
      </c>
      <c r="K14" s="352">
        <f t="shared" si="2"/>
        <v>2.05085682697623</v>
      </c>
      <c r="L14" s="353">
        <f t="shared" si="3"/>
        <v>41.64363368343468</v>
      </c>
      <c r="M14" s="353">
        <f t="shared" si="4"/>
        <v>20.91394877464529</v>
      </c>
    </row>
    <row r="15" spans="1:13" ht="15" customHeight="1">
      <c r="A15" s="138">
        <f>'55'!A32</f>
        <v>5</v>
      </c>
      <c r="B15" s="18" t="str">
        <f>'55'!B32</f>
        <v>Kuala Pembuang</v>
      </c>
      <c r="C15" s="138" t="s">
        <v>905</v>
      </c>
      <c r="D15" s="186">
        <v>40</v>
      </c>
      <c r="E15" s="186">
        <v>587</v>
      </c>
      <c r="F15" s="186">
        <v>21</v>
      </c>
      <c r="G15" s="186">
        <v>5</v>
      </c>
      <c r="H15" s="186">
        <v>1436</v>
      </c>
      <c r="I15" s="352">
        <f t="shared" si="0"/>
        <v>9.835616438356166</v>
      </c>
      <c r="J15" s="353">
        <f t="shared" si="1"/>
        <v>2.44633730834753</v>
      </c>
      <c r="K15" s="352">
        <f t="shared" si="2"/>
        <v>22.425894378194208</v>
      </c>
      <c r="L15" s="353">
        <f t="shared" si="3"/>
        <v>35.77512776831346</v>
      </c>
      <c r="M15" s="353">
        <f t="shared" si="4"/>
        <v>8.517887563884157</v>
      </c>
    </row>
    <row r="16" spans="1:13" ht="15" customHeight="1">
      <c r="A16" s="138">
        <f>'55'!A33</f>
        <v>6</v>
      </c>
      <c r="B16" s="18" t="str">
        <f>'55'!B33</f>
        <v>Hanua</v>
      </c>
      <c r="C16" s="138" t="s">
        <v>905</v>
      </c>
      <c r="D16" s="186">
        <v>20</v>
      </c>
      <c r="E16" s="186">
        <v>703</v>
      </c>
      <c r="F16" s="186">
        <v>5</v>
      </c>
      <c r="G16" s="186">
        <v>5</v>
      </c>
      <c r="H16" s="186">
        <v>1370</v>
      </c>
      <c r="I16" s="352">
        <f>H16/(D16*365)*100</f>
        <v>18.767123287671232</v>
      </c>
      <c r="J16" s="353">
        <f>H16/E16</f>
        <v>1.9487908961593172</v>
      </c>
      <c r="K16" s="352">
        <f>((D16*365)-H16)/E16</f>
        <v>8.435277382645804</v>
      </c>
      <c r="L16" s="353">
        <f>F16/E16*1000</f>
        <v>7.112375533428165</v>
      </c>
      <c r="M16" s="353">
        <f>G16/E16*1000</f>
        <v>7.112375533428165</v>
      </c>
    </row>
    <row r="17" spans="1:13" ht="15" customHeight="1">
      <c r="A17" s="138">
        <f>'55'!A34</f>
        <v>7</v>
      </c>
      <c r="B17" s="18" t="str">
        <f>'55'!B34</f>
        <v>Kasongan</v>
      </c>
      <c r="C17" s="138" t="s">
        <v>905</v>
      </c>
      <c r="D17" s="186">
        <v>81</v>
      </c>
      <c r="E17" s="186">
        <v>1698</v>
      </c>
      <c r="F17" s="186">
        <v>36</v>
      </c>
      <c r="G17" s="186">
        <v>14</v>
      </c>
      <c r="H17" s="186">
        <v>5349</v>
      </c>
      <c r="I17" s="352">
        <f t="shared" si="0"/>
        <v>18.09233891425672</v>
      </c>
      <c r="J17" s="353">
        <f t="shared" si="1"/>
        <v>3.15017667844523</v>
      </c>
      <c r="K17" s="352">
        <f t="shared" si="2"/>
        <v>14.26148409893993</v>
      </c>
      <c r="L17" s="353">
        <f t="shared" si="3"/>
        <v>21.20141342756184</v>
      </c>
      <c r="M17" s="353">
        <f t="shared" si="4"/>
        <v>8.244994110718492</v>
      </c>
    </row>
    <row r="18" spans="1:13" ht="15" customHeight="1">
      <c r="A18" s="138">
        <f>'55'!A35</f>
        <v>8</v>
      </c>
      <c r="B18" s="18" t="str">
        <f>'55'!B35</f>
        <v>Dr. Soemarno SA</v>
      </c>
      <c r="C18" s="138" t="s">
        <v>905</v>
      </c>
      <c r="D18" s="186">
        <v>123</v>
      </c>
      <c r="E18" s="186">
        <v>6684</v>
      </c>
      <c r="F18" s="186">
        <v>263</v>
      </c>
      <c r="G18" s="186">
        <v>116</v>
      </c>
      <c r="H18" s="186">
        <v>29748</v>
      </c>
      <c r="I18" s="352">
        <f t="shared" si="0"/>
        <v>66.26127631139325</v>
      </c>
      <c r="J18" s="353">
        <f t="shared" si="1"/>
        <v>4.450628366247756</v>
      </c>
      <c r="K18" s="352">
        <f t="shared" si="2"/>
        <v>2.2661579892280073</v>
      </c>
      <c r="L18" s="353">
        <f t="shared" si="3"/>
        <v>39.347695990424896</v>
      </c>
      <c r="M18" s="353">
        <f t="shared" si="4"/>
        <v>17.354877318970676</v>
      </c>
    </row>
    <row r="19" spans="1:13" ht="15" customHeight="1">
      <c r="A19" s="138">
        <f>'55'!A36</f>
        <v>9</v>
      </c>
      <c r="B19" s="18" t="str">
        <f>'55'!B36</f>
        <v>Pulang Pisau</v>
      </c>
      <c r="C19" s="138" t="s">
        <v>905</v>
      </c>
      <c r="D19" s="186">
        <v>60</v>
      </c>
      <c r="E19" s="186">
        <v>1074</v>
      </c>
      <c r="F19" s="186">
        <v>18</v>
      </c>
      <c r="G19" s="186">
        <v>18</v>
      </c>
      <c r="H19" s="186">
        <v>4320</v>
      </c>
      <c r="I19" s="352">
        <f t="shared" si="0"/>
        <v>19.726027397260275</v>
      </c>
      <c r="J19" s="353">
        <f t="shared" si="1"/>
        <v>4.022346368715084</v>
      </c>
      <c r="K19" s="352">
        <f t="shared" si="2"/>
        <v>16.368715083798882</v>
      </c>
      <c r="L19" s="353">
        <f t="shared" si="3"/>
        <v>16.75977653631285</v>
      </c>
      <c r="M19" s="353">
        <f t="shared" si="4"/>
        <v>16.75977653631285</v>
      </c>
    </row>
    <row r="20" spans="1:13" ht="15" customHeight="1">
      <c r="A20" s="138">
        <f>'55'!A37</f>
        <v>10</v>
      </c>
      <c r="B20" s="18" t="str">
        <f>'55'!B37</f>
        <v>Kuala Kurun</v>
      </c>
      <c r="C20" s="138" t="s">
        <v>905</v>
      </c>
      <c r="D20" s="186">
        <v>20</v>
      </c>
      <c r="E20" s="186">
        <v>1110</v>
      </c>
      <c r="F20" s="186">
        <v>23</v>
      </c>
      <c r="G20" s="186">
        <v>15</v>
      </c>
      <c r="H20" s="186">
        <v>3855</v>
      </c>
      <c r="I20" s="352">
        <f t="shared" si="0"/>
        <v>52.8082191780822</v>
      </c>
      <c r="J20" s="353">
        <f t="shared" si="1"/>
        <v>3.472972972972973</v>
      </c>
      <c r="K20" s="352">
        <f t="shared" si="2"/>
        <v>3.1036036036036037</v>
      </c>
      <c r="L20" s="353">
        <f t="shared" si="3"/>
        <v>20.72072072072072</v>
      </c>
      <c r="M20" s="353">
        <f t="shared" si="4"/>
        <v>13.513513513513514</v>
      </c>
    </row>
    <row r="21" spans="1:13" ht="15" customHeight="1">
      <c r="A21" s="138">
        <f>'55'!A38</f>
        <v>11</v>
      </c>
      <c r="B21" s="18" t="str">
        <f>'55'!B38</f>
        <v>Buntok</v>
      </c>
      <c r="C21" s="138" t="s">
        <v>905</v>
      </c>
      <c r="D21" s="186">
        <v>69</v>
      </c>
      <c r="E21" s="186">
        <v>2540</v>
      </c>
      <c r="F21" s="186">
        <v>101</v>
      </c>
      <c r="G21" s="186">
        <v>61</v>
      </c>
      <c r="H21" s="186">
        <v>9700</v>
      </c>
      <c r="I21" s="352">
        <f t="shared" si="0"/>
        <v>38.51498908080207</v>
      </c>
      <c r="J21" s="353">
        <f t="shared" si="1"/>
        <v>3.8188976377952755</v>
      </c>
      <c r="K21" s="352">
        <f t="shared" si="2"/>
        <v>6.096456692913386</v>
      </c>
      <c r="L21" s="353">
        <f t="shared" si="3"/>
        <v>39.76377952755906</v>
      </c>
      <c r="M21" s="353">
        <f t="shared" si="4"/>
        <v>24.015748031496063</v>
      </c>
    </row>
    <row r="22" spans="1:13" ht="15" customHeight="1">
      <c r="A22" s="138">
        <f>'55'!A39</f>
        <v>12</v>
      </c>
      <c r="B22" s="18" t="str">
        <f>'55'!B39</f>
        <v>Tamiang Layang</v>
      </c>
      <c r="C22" s="138" t="s">
        <v>905</v>
      </c>
      <c r="D22" s="186">
        <v>28</v>
      </c>
      <c r="E22" s="186">
        <v>2103</v>
      </c>
      <c r="F22" s="186">
        <v>24</v>
      </c>
      <c r="G22" s="186">
        <v>7</v>
      </c>
      <c r="H22" s="186">
        <v>6868</v>
      </c>
      <c r="I22" s="352">
        <f t="shared" si="0"/>
        <v>67.20156555772994</v>
      </c>
      <c r="J22" s="353">
        <f t="shared" si="1"/>
        <v>3.265810746552544</v>
      </c>
      <c r="K22" s="352">
        <f t="shared" si="2"/>
        <v>1.5939134569662388</v>
      </c>
      <c r="L22" s="353">
        <f t="shared" si="3"/>
        <v>11.412268188302425</v>
      </c>
      <c r="M22" s="353">
        <f t="shared" si="4"/>
        <v>3.3285782215882076</v>
      </c>
    </row>
    <row r="23" spans="1:13" ht="15" customHeight="1">
      <c r="A23" s="138">
        <f>'55'!A40</f>
        <v>13</v>
      </c>
      <c r="B23" s="18" t="str">
        <f>'55'!B40</f>
        <v>Muara Teweh</v>
      </c>
      <c r="C23" s="138" t="s">
        <v>905</v>
      </c>
      <c r="D23" s="186">
        <v>53</v>
      </c>
      <c r="E23" s="186">
        <v>4364</v>
      </c>
      <c r="F23" s="186">
        <v>142</v>
      </c>
      <c r="G23" s="186">
        <v>46</v>
      </c>
      <c r="H23" s="186">
        <v>13443</v>
      </c>
      <c r="I23" s="352">
        <f t="shared" si="0"/>
        <v>69.49082450245541</v>
      </c>
      <c r="J23" s="353">
        <f t="shared" si="1"/>
        <v>3.0804307974335474</v>
      </c>
      <c r="K23" s="352">
        <f t="shared" si="2"/>
        <v>1.352428964252979</v>
      </c>
      <c r="L23" s="353">
        <f t="shared" si="3"/>
        <v>32.538955087076076</v>
      </c>
      <c r="M23" s="353">
        <f t="shared" si="4"/>
        <v>10.540788267644363</v>
      </c>
    </row>
    <row r="24" spans="1:13" ht="15" customHeight="1">
      <c r="A24" s="138">
        <f>'55'!A41</f>
        <v>14</v>
      </c>
      <c r="B24" s="18" t="str">
        <f>'55'!B41</f>
        <v>Puruk Cahu</v>
      </c>
      <c r="C24" s="138" t="s">
        <v>905</v>
      </c>
      <c r="D24" s="186">
        <v>55</v>
      </c>
      <c r="E24" s="373">
        <v>2253</v>
      </c>
      <c r="F24" s="373">
        <v>45</v>
      </c>
      <c r="G24" s="373">
        <v>15</v>
      </c>
      <c r="H24" s="373">
        <v>6791</v>
      </c>
      <c r="I24" s="491">
        <f t="shared" si="0"/>
        <v>33.82814445828144</v>
      </c>
      <c r="J24" s="371">
        <f t="shared" si="1"/>
        <v>3.014203284509543</v>
      </c>
      <c r="K24" s="491">
        <f t="shared" si="2"/>
        <v>5.896138482023968</v>
      </c>
      <c r="L24" s="371">
        <f t="shared" si="3"/>
        <v>19.973368841544605</v>
      </c>
      <c r="M24" s="371">
        <f t="shared" si="4"/>
        <v>6.657789613848202</v>
      </c>
    </row>
    <row r="25" spans="1:13" ht="15" customHeight="1">
      <c r="A25" s="138">
        <f>'55'!A42</f>
        <v>15</v>
      </c>
      <c r="B25" s="18" t="str">
        <f>'55'!B42</f>
        <v>Dr. Doris Sylvanus</v>
      </c>
      <c r="C25" s="138" t="s">
        <v>905</v>
      </c>
      <c r="D25" s="186">
        <v>254</v>
      </c>
      <c r="E25" s="186">
        <v>15042</v>
      </c>
      <c r="F25" s="186">
        <v>575</v>
      </c>
      <c r="G25" s="186">
        <v>241</v>
      </c>
      <c r="H25" s="186">
        <v>54953</v>
      </c>
      <c r="I25" s="352">
        <f t="shared" si="0"/>
        <v>59.27408046596915</v>
      </c>
      <c r="J25" s="353">
        <f t="shared" si="1"/>
        <v>3.653304081904002</v>
      </c>
      <c r="K25" s="352">
        <f t="shared" si="2"/>
        <v>2.5101050392235074</v>
      </c>
      <c r="L25" s="353">
        <f t="shared" si="3"/>
        <v>38.2262996941896</v>
      </c>
      <c r="M25" s="353">
        <f t="shared" si="4"/>
        <v>16.02180561095599</v>
      </c>
    </row>
    <row r="26" spans="1:13" ht="15" customHeight="1">
      <c r="A26" s="138">
        <f>'55'!A43</f>
        <v>16</v>
      </c>
      <c r="B26" s="18" t="str">
        <f>'55'!B43</f>
        <v>RS Bhayangkara</v>
      </c>
      <c r="C26" s="138" t="s">
        <v>905</v>
      </c>
      <c r="D26" s="186">
        <v>46</v>
      </c>
      <c r="E26" s="186">
        <v>1692</v>
      </c>
      <c r="F26" s="186">
        <v>4</v>
      </c>
      <c r="G26" s="186">
        <v>4</v>
      </c>
      <c r="H26" s="186">
        <v>7093</v>
      </c>
      <c r="I26" s="352">
        <f>H26/(D26*365)*100</f>
        <v>42.24538415723645</v>
      </c>
      <c r="J26" s="353">
        <f>H26/E26</f>
        <v>4.192080378250591</v>
      </c>
      <c r="K26" s="352">
        <f>((D26*365)-H26)/E26</f>
        <v>5.7310874704491725</v>
      </c>
      <c r="L26" s="353">
        <f>F26/E26*1000</f>
        <v>2.3640661938534278</v>
      </c>
      <c r="M26" s="353">
        <f>G26/E26*1000</f>
        <v>2.3640661938534278</v>
      </c>
    </row>
    <row r="27" spans="1:13" ht="15" customHeight="1">
      <c r="A27" s="138">
        <f>'55'!A44</f>
        <v>17</v>
      </c>
      <c r="B27" s="18" t="str">
        <f>'55'!B44</f>
        <v>RS TNI Denkensyah</v>
      </c>
      <c r="C27" s="138" t="s">
        <v>905</v>
      </c>
      <c r="D27" s="186">
        <v>25</v>
      </c>
      <c r="E27" s="186">
        <v>264</v>
      </c>
      <c r="F27" s="186">
        <v>0</v>
      </c>
      <c r="G27" s="186">
        <v>0</v>
      </c>
      <c r="H27" s="186">
        <v>1042</v>
      </c>
      <c r="I27" s="352">
        <f>H27/(D27*365)*100</f>
        <v>11.419178082191781</v>
      </c>
      <c r="J27" s="353">
        <f>H27/E27</f>
        <v>3.946969696969697</v>
      </c>
      <c r="K27" s="352">
        <f>((D27*365)-H27)/E27</f>
        <v>30.617424242424242</v>
      </c>
      <c r="L27" s="353">
        <f>F27/E27*1000</f>
        <v>0</v>
      </c>
      <c r="M27" s="353">
        <f>G27/E27*1000</f>
        <v>0</v>
      </c>
    </row>
    <row r="28" spans="1:13" ht="15" customHeight="1" thickBot="1">
      <c r="A28" s="39"/>
      <c r="B28" s="106"/>
      <c r="C28" s="243"/>
      <c r="D28" s="40"/>
      <c r="E28" s="40"/>
      <c r="F28" s="40"/>
      <c r="G28" s="40"/>
      <c r="H28" s="40"/>
      <c r="I28" s="354"/>
      <c r="J28" s="355"/>
      <c r="K28" s="354"/>
      <c r="L28" s="355"/>
      <c r="M28" s="355"/>
    </row>
    <row r="29" spans="1:13" ht="15">
      <c r="A29" s="9"/>
      <c r="B29" s="9"/>
      <c r="C29" s="9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ht="15">
      <c r="A30" s="14" t="s">
        <v>244</v>
      </c>
    </row>
    <row r="31" ht="15">
      <c r="A31" s="14" t="s">
        <v>245</v>
      </c>
    </row>
    <row r="32" ht="15">
      <c r="A32" s="14" t="s">
        <v>524</v>
      </c>
    </row>
  </sheetData>
  <mergeCells count="13">
    <mergeCell ref="A3:M3"/>
    <mergeCell ref="A8:A9"/>
    <mergeCell ref="B8:B9"/>
    <mergeCell ref="E8:G8"/>
    <mergeCell ref="D8:D9"/>
    <mergeCell ref="H8:H9"/>
    <mergeCell ref="M8:M9"/>
    <mergeCell ref="I8:I9"/>
    <mergeCell ref="A4:M4"/>
    <mergeCell ref="A5:M5"/>
    <mergeCell ref="J8:J9"/>
    <mergeCell ref="K8:K9"/>
    <mergeCell ref="L8:L9"/>
  </mergeCells>
  <printOptions horizontalCentered="1"/>
  <pageMargins left="1.6929133858267718" right="0.9055118110236221" top="1.141732283464567" bottom="0.9055118110236221" header="0" footer="1.1811023622047245"/>
  <pageSetup fitToHeight="1" fitToWidth="1" horizontalDpi="300" verticalDpi="300" orientation="landscape" paperSize="9" scale="62" r:id="rId1"/>
  <headerFooter alignWithMargins="0">
    <oddFooter>&amp;C120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1"/>
  <sheetViews>
    <sheetView zoomScale="75" zoomScaleNormal="75" workbookViewId="0" topLeftCell="A1">
      <selection activeCell="E1" sqref="E1"/>
    </sheetView>
  </sheetViews>
  <sheetFormatPr defaultColWidth="9.140625" defaultRowHeight="12.75"/>
  <cols>
    <col min="1" max="1" width="5.7109375" style="14" customWidth="1"/>
    <col min="2" max="2" width="24.00390625" style="14" customWidth="1"/>
    <col min="3" max="9" width="21.421875" style="14" customWidth="1"/>
    <col min="10" max="16384" width="9.140625" style="14" customWidth="1"/>
  </cols>
  <sheetData>
    <row r="1" ht="15">
      <c r="A1" s="14" t="s">
        <v>285</v>
      </c>
    </row>
    <row r="2" ht="15">
      <c r="A2" s="14" t="s">
        <v>1</v>
      </c>
    </row>
    <row r="3" spans="1:9" ht="15">
      <c r="A3" s="641" t="s">
        <v>863</v>
      </c>
      <c r="B3" s="641"/>
      <c r="C3" s="641"/>
      <c r="D3" s="641"/>
      <c r="E3" s="641"/>
      <c r="F3" s="641"/>
      <c r="G3" s="641"/>
      <c r="H3" s="641"/>
      <c r="I3" s="641"/>
    </row>
    <row r="4" spans="1:9" ht="15">
      <c r="A4" s="641" t="str">
        <f>1!A5</f>
        <v>PROVINSI KALIMANTAN TENGAH</v>
      </c>
      <c r="B4" s="641"/>
      <c r="C4" s="641"/>
      <c r="D4" s="641"/>
      <c r="E4" s="641"/>
      <c r="F4" s="641"/>
      <c r="G4" s="641"/>
      <c r="H4" s="641"/>
      <c r="I4" s="641"/>
    </row>
    <row r="5" spans="1:9" ht="15">
      <c r="A5" s="641" t="str">
        <f>1!A6</f>
        <v>TAHUN 2009</v>
      </c>
      <c r="B5" s="641"/>
      <c r="C5" s="641"/>
      <c r="D5" s="641"/>
      <c r="E5" s="641"/>
      <c r="F5" s="641"/>
      <c r="G5" s="641"/>
      <c r="H5" s="641"/>
      <c r="I5" s="641"/>
    </row>
    <row r="6" spans="1:9" ht="15.75" thickBot="1">
      <c r="A6" s="106"/>
      <c r="B6" s="106"/>
      <c r="C6" s="106"/>
      <c r="D6" s="106"/>
      <c r="E6" s="106"/>
      <c r="F6" s="106"/>
      <c r="G6" s="106"/>
      <c r="H6" s="106"/>
      <c r="I6" s="106"/>
    </row>
    <row r="7" spans="1:9" ht="19.5" customHeight="1">
      <c r="A7" s="634" t="s">
        <v>2</v>
      </c>
      <c r="B7" s="634" t="s">
        <v>844</v>
      </c>
      <c r="C7" s="580" t="s">
        <v>109</v>
      </c>
      <c r="D7" s="581"/>
      <c r="E7" s="556"/>
      <c r="F7" s="387"/>
      <c r="G7" s="649" t="s">
        <v>8</v>
      </c>
      <c r="H7" s="558" t="s">
        <v>5</v>
      </c>
      <c r="I7" s="649" t="s">
        <v>6</v>
      </c>
    </row>
    <row r="8" spans="1:9" ht="15">
      <c r="A8" s="635"/>
      <c r="B8" s="635"/>
      <c r="C8" s="557" t="s">
        <v>464</v>
      </c>
      <c r="D8" s="557" t="s">
        <v>465</v>
      </c>
      <c r="E8" s="48" t="s">
        <v>466</v>
      </c>
      <c r="F8" s="48" t="s">
        <v>709</v>
      </c>
      <c r="G8" s="615"/>
      <c r="H8" s="559"/>
      <c r="I8" s="615"/>
    </row>
    <row r="9" spans="1:9" ht="15">
      <c r="A9" s="636"/>
      <c r="B9" s="636"/>
      <c r="C9" s="616"/>
      <c r="D9" s="616"/>
      <c r="E9" s="52" t="s">
        <v>465</v>
      </c>
      <c r="F9" s="52"/>
      <c r="G9" s="616"/>
      <c r="H9" s="560"/>
      <c r="I9" s="616"/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ht="15">
      <c r="A11" s="138">
        <f>1!A12</f>
        <v>1</v>
      </c>
      <c r="B11" s="30" t="str">
        <f>1!B12</f>
        <v>Kotawaringin Barat</v>
      </c>
      <c r="C11" s="31">
        <v>5183</v>
      </c>
      <c r="D11" s="30">
        <v>28</v>
      </c>
      <c r="E11" s="107">
        <f aca="true" t="shared" si="0" ref="E11:E24">C11+D11</f>
        <v>5211</v>
      </c>
      <c r="F11" s="188">
        <f>D11/E11*100</f>
        <v>0.5373248896564959</v>
      </c>
      <c r="G11" s="30">
        <v>54</v>
      </c>
      <c r="H11" s="31">
        <v>20258</v>
      </c>
      <c r="I11" s="30">
        <v>70</v>
      </c>
    </row>
    <row r="12" spans="1:9" ht="15">
      <c r="A12" s="138">
        <f>1!A13</f>
        <v>2</v>
      </c>
      <c r="B12" s="30" t="str">
        <f>1!B13</f>
        <v>Lamandau</v>
      </c>
      <c r="C12" s="31">
        <v>1187</v>
      </c>
      <c r="D12" s="30">
        <v>9</v>
      </c>
      <c r="E12" s="107">
        <f t="shared" si="0"/>
        <v>1196</v>
      </c>
      <c r="F12" s="188">
        <f aca="true" t="shared" si="1" ref="F12:F26">D12/E12*100</f>
        <v>0.7525083612040134</v>
      </c>
      <c r="G12" s="30">
        <v>1</v>
      </c>
      <c r="H12" s="31">
        <v>6134</v>
      </c>
      <c r="I12" s="30">
        <v>3</v>
      </c>
    </row>
    <row r="13" spans="1:9" ht="15">
      <c r="A13" s="138">
        <f>1!A14</f>
        <v>3</v>
      </c>
      <c r="B13" s="30" t="str">
        <f>1!B14</f>
        <v>Sukamara</v>
      </c>
      <c r="C13" s="31">
        <v>779</v>
      </c>
      <c r="D13" s="30">
        <v>14</v>
      </c>
      <c r="E13" s="107">
        <f t="shared" si="0"/>
        <v>793</v>
      </c>
      <c r="F13" s="188">
        <f t="shared" si="1"/>
        <v>1.7654476670870116</v>
      </c>
      <c r="G13" s="30">
        <v>10</v>
      </c>
      <c r="H13" s="31">
        <v>3120</v>
      </c>
      <c r="I13" s="30">
        <v>4</v>
      </c>
    </row>
    <row r="14" spans="1:9" ht="15">
      <c r="A14" s="138">
        <f>1!A15</f>
        <v>4</v>
      </c>
      <c r="B14" s="30" t="str">
        <f>1!B15</f>
        <v>Kotawaringin Timur</v>
      </c>
      <c r="C14" s="31">
        <v>6794</v>
      </c>
      <c r="D14" s="30">
        <v>23</v>
      </c>
      <c r="E14" s="107">
        <f t="shared" si="0"/>
        <v>6817</v>
      </c>
      <c r="F14" s="188">
        <f t="shared" si="1"/>
        <v>0.33739181458119405</v>
      </c>
      <c r="G14" s="30">
        <v>46</v>
      </c>
      <c r="H14" s="31">
        <v>30020</v>
      </c>
      <c r="I14" s="30">
        <v>0</v>
      </c>
    </row>
    <row r="15" spans="1:9" ht="15">
      <c r="A15" s="138">
        <f>1!A16</f>
        <v>5</v>
      </c>
      <c r="B15" s="30" t="str">
        <f>1!B16</f>
        <v>Seruyan</v>
      </c>
      <c r="C15" s="31">
        <v>3107</v>
      </c>
      <c r="D15" s="30">
        <v>7</v>
      </c>
      <c r="E15" s="107">
        <f t="shared" si="0"/>
        <v>3114</v>
      </c>
      <c r="F15" s="188">
        <f>(D15/E15)*100</f>
        <v>0.22479126525369297</v>
      </c>
      <c r="G15" s="30">
        <v>23</v>
      </c>
      <c r="H15" s="31">
        <v>15369</v>
      </c>
      <c r="I15" s="30">
        <v>0</v>
      </c>
    </row>
    <row r="16" spans="1:9" ht="15">
      <c r="A16" s="138">
        <f>1!A17</f>
        <v>6</v>
      </c>
      <c r="B16" s="30" t="str">
        <f>1!B17</f>
        <v>Katingan</v>
      </c>
      <c r="C16" s="139">
        <v>3581</v>
      </c>
      <c r="D16" s="30">
        <v>22</v>
      </c>
      <c r="E16" s="107">
        <f t="shared" si="0"/>
        <v>3603</v>
      </c>
      <c r="F16" s="188">
        <f t="shared" si="1"/>
        <v>0.6106022758812101</v>
      </c>
      <c r="G16" s="30">
        <v>42</v>
      </c>
      <c r="H16" s="31">
        <v>13901</v>
      </c>
      <c r="I16" s="30">
        <v>52</v>
      </c>
    </row>
    <row r="17" spans="1:9" ht="15">
      <c r="A17" s="138">
        <f>1!A18</f>
        <v>7</v>
      </c>
      <c r="B17" s="30" t="str">
        <f>1!B18</f>
        <v>Kapuas</v>
      </c>
      <c r="C17" s="31">
        <v>7861</v>
      </c>
      <c r="D17" s="30">
        <v>25</v>
      </c>
      <c r="E17" s="107">
        <f t="shared" si="0"/>
        <v>7886</v>
      </c>
      <c r="F17" s="188">
        <f t="shared" si="1"/>
        <v>0.317017499365965</v>
      </c>
      <c r="G17" s="30">
        <v>62</v>
      </c>
      <c r="H17" s="31">
        <v>35093</v>
      </c>
      <c r="I17" s="30">
        <v>42</v>
      </c>
    </row>
    <row r="18" spans="1:9" ht="15">
      <c r="A18" s="138">
        <f>1!A19</f>
        <v>8</v>
      </c>
      <c r="B18" s="30" t="str">
        <f>1!B19</f>
        <v>Pulang Pisau</v>
      </c>
      <c r="C18" s="31">
        <v>2855</v>
      </c>
      <c r="D18" s="30">
        <v>6</v>
      </c>
      <c r="E18" s="107">
        <f t="shared" si="0"/>
        <v>2861</v>
      </c>
      <c r="F18" s="188">
        <f t="shared" si="1"/>
        <v>0.20971688220901785</v>
      </c>
      <c r="G18" s="30">
        <v>12</v>
      </c>
      <c r="H18" s="139">
        <v>10491</v>
      </c>
      <c r="I18" s="63">
        <v>0</v>
      </c>
    </row>
    <row r="19" spans="1:9" ht="15">
      <c r="A19" s="138">
        <f>1!A20</f>
        <v>9</v>
      </c>
      <c r="B19" s="30" t="str">
        <f>1!B20</f>
        <v>Gunung Mas</v>
      </c>
      <c r="C19" s="31">
        <v>2308</v>
      </c>
      <c r="D19" s="30">
        <v>7</v>
      </c>
      <c r="E19" s="107">
        <f t="shared" si="0"/>
        <v>2315</v>
      </c>
      <c r="F19" s="188">
        <f t="shared" si="1"/>
        <v>0.3023758099352052</v>
      </c>
      <c r="G19" s="30">
        <v>16</v>
      </c>
      <c r="H19" s="31">
        <v>8917</v>
      </c>
      <c r="I19" s="30">
        <v>6</v>
      </c>
    </row>
    <row r="20" spans="1:9" ht="15">
      <c r="A20" s="138">
        <f>1!A21</f>
        <v>10</v>
      </c>
      <c r="B20" s="30" t="str">
        <f>1!B21</f>
        <v>Barito Selatan</v>
      </c>
      <c r="C20" s="139">
        <v>2376</v>
      </c>
      <c r="D20" s="30">
        <v>16</v>
      </c>
      <c r="E20" s="107">
        <f t="shared" si="0"/>
        <v>2392</v>
      </c>
      <c r="F20" s="188">
        <f t="shared" si="1"/>
        <v>0.6688963210702341</v>
      </c>
      <c r="G20" s="30">
        <v>31</v>
      </c>
      <c r="H20" s="31">
        <v>14854</v>
      </c>
      <c r="I20" s="30">
        <v>5</v>
      </c>
    </row>
    <row r="21" spans="1:9" ht="15">
      <c r="A21" s="138">
        <f>1!A22</f>
        <v>11</v>
      </c>
      <c r="B21" s="30" t="str">
        <f>1!B22</f>
        <v>Barito Timur</v>
      </c>
      <c r="C21" s="31">
        <v>1601</v>
      </c>
      <c r="D21" s="30">
        <v>21</v>
      </c>
      <c r="E21" s="107">
        <f t="shared" si="0"/>
        <v>1622</v>
      </c>
      <c r="F21" s="188">
        <f t="shared" si="1"/>
        <v>1.2946979038224413</v>
      </c>
      <c r="G21" s="30">
        <v>20</v>
      </c>
      <c r="H21" s="31">
        <v>9239</v>
      </c>
      <c r="I21" s="30">
        <v>2</v>
      </c>
    </row>
    <row r="22" spans="1:9" ht="15">
      <c r="A22" s="138">
        <f>1!A23</f>
        <v>12</v>
      </c>
      <c r="B22" s="30" t="str">
        <f>1!B23</f>
        <v>Barito Utara</v>
      </c>
      <c r="C22" s="31">
        <v>2516</v>
      </c>
      <c r="D22" s="30">
        <v>7</v>
      </c>
      <c r="E22" s="107">
        <f t="shared" si="0"/>
        <v>2523</v>
      </c>
      <c r="F22" s="188">
        <f t="shared" si="1"/>
        <v>0.27744748315497425</v>
      </c>
      <c r="G22" s="30">
        <v>15</v>
      </c>
      <c r="H22" s="31">
        <v>11518</v>
      </c>
      <c r="I22" s="30">
        <v>0</v>
      </c>
    </row>
    <row r="23" spans="1:9" ht="15">
      <c r="A23" s="138">
        <f>1!A24</f>
        <v>13</v>
      </c>
      <c r="B23" s="30" t="str">
        <f>1!B24</f>
        <v>Murung Raya</v>
      </c>
      <c r="C23" s="31">
        <v>2313</v>
      </c>
      <c r="D23" s="30">
        <v>22</v>
      </c>
      <c r="E23" s="107">
        <f t="shared" si="0"/>
        <v>2335</v>
      </c>
      <c r="F23" s="188">
        <f t="shared" si="1"/>
        <v>0.9421841541755889</v>
      </c>
      <c r="G23" s="30">
        <v>13</v>
      </c>
      <c r="H23" s="31">
        <v>9744</v>
      </c>
      <c r="I23" s="30">
        <v>1</v>
      </c>
    </row>
    <row r="24" spans="1:9" ht="15">
      <c r="A24" s="138">
        <f>1!A25</f>
        <v>14</v>
      </c>
      <c r="B24" s="30" t="str">
        <f>1!B25</f>
        <v>Palangka Raya</v>
      </c>
      <c r="C24" s="31">
        <v>5006</v>
      </c>
      <c r="D24" s="30">
        <v>0</v>
      </c>
      <c r="E24" s="107">
        <f t="shared" si="0"/>
        <v>5006</v>
      </c>
      <c r="F24" s="388">
        <f t="shared" si="1"/>
        <v>0</v>
      </c>
      <c r="G24" s="30">
        <v>7</v>
      </c>
      <c r="H24" s="31">
        <v>19919</v>
      </c>
      <c r="I24" s="30">
        <v>2</v>
      </c>
    </row>
    <row r="25" spans="1:9" ht="15">
      <c r="A25" s="30"/>
      <c r="B25" s="30"/>
      <c r="C25" s="31"/>
      <c r="D25" s="30"/>
      <c r="E25" s="107"/>
      <c r="F25" s="388"/>
      <c r="G25" s="30"/>
      <c r="H25" s="31"/>
      <c r="I25" s="30"/>
    </row>
    <row r="26" spans="1:9" ht="19.5" customHeight="1">
      <c r="A26" s="108" t="s">
        <v>859</v>
      </c>
      <c r="B26" s="108"/>
      <c r="C26" s="109">
        <f>SUM(C11:C25)</f>
        <v>47467</v>
      </c>
      <c r="D26" s="110">
        <f>SUM(D11:D25)</f>
        <v>207</v>
      </c>
      <c r="E26" s="111">
        <f>C26+D26</f>
        <v>47674</v>
      </c>
      <c r="F26" s="512">
        <f t="shared" si="1"/>
        <v>0.43419893442966817</v>
      </c>
      <c r="G26" s="110">
        <f>SUM(G11:G25)</f>
        <v>352</v>
      </c>
      <c r="H26" s="110">
        <f>SUM(H11:H25)</f>
        <v>208577</v>
      </c>
      <c r="I26" s="112">
        <f>SUM(I11:I25)</f>
        <v>187</v>
      </c>
    </row>
    <row r="27" spans="1:9" ht="19.5" customHeight="1" thickBot="1">
      <c r="A27" s="577" t="s">
        <v>516</v>
      </c>
      <c r="B27" s="578"/>
      <c r="C27" s="578"/>
      <c r="D27" s="578"/>
      <c r="E27" s="578"/>
      <c r="F27" s="579"/>
      <c r="G27" s="113">
        <f>G26/C26*1000</f>
        <v>7.415678260686372</v>
      </c>
      <c r="H27" s="389"/>
      <c r="I27" s="115">
        <f>I26/C26*1000</f>
        <v>3.939579075989635</v>
      </c>
    </row>
    <row r="28" spans="1:9" ht="15">
      <c r="A28" s="18"/>
      <c r="C28" s="18"/>
      <c r="D28" s="18"/>
      <c r="E28" s="18"/>
      <c r="F28" s="18"/>
      <c r="G28" s="18"/>
      <c r="H28" s="18"/>
      <c r="I28" s="18"/>
    </row>
    <row r="29" spans="1:9" ht="15">
      <c r="A29" s="525" t="s">
        <v>243</v>
      </c>
      <c r="I29" s="511"/>
    </row>
    <row r="31" ht="15">
      <c r="A31" s="14" t="s">
        <v>492</v>
      </c>
    </row>
  </sheetData>
  <mergeCells count="12">
    <mergeCell ref="D8:D9"/>
    <mergeCell ref="H7:H9"/>
    <mergeCell ref="A27:F27"/>
    <mergeCell ref="C7:E7"/>
    <mergeCell ref="A3:I3"/>
    <mergeCell ref="A4:I4"/>
    <mergeCell ref="A5:I5"/>
    <mergeCell ref="I7:I9"/>
    <mergeCell ref="A7:A9"/>
    <mergeCell ref="B7:B9"/>
    <mergeCell ref="G7:G9"/>
    <mergeCell ref="C8:C9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65" r:id="rId1"/>
  <headerFooter alignWithMargins="0">
    <oddFooter>&amp;C63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31"/>
  <sheetViews>
    <sheetView zoomScale="75" zoomScaleNormal="75" workbookViewId="0" topLeftCell="A1">
      <selection activeCell="D34" sqref="D34"/>
    </sheetView>
  </sheetViews>
  <sheetFormatPr defaultColWidth="9.140625" defaultRowHeight="12.75"/>
  <cols>
    <col min="1" max="1" width="5.7109375" style="14" customWidth="1"/>
    <col min="2" max="2" width="21.7109375" style="14" customWidth="1"/>
    <col min="3" max="7" width="22.8515625" style="14" customWidth="1"/>
    <col min="8" max="16384" width="9.140625" style="14" customWidth="1"/>
  </cols>
  <sheetData>
    <row r="1" ht="15">
      <c r="A1" s="14" t="s">
        <v>286</v>
      </c>
    </row>
    <row r="2" spans="1:7" ht="15">
      <c r="A2" s="641" t="s">
        <v>9</v>
      </c>
      <c r="B2" s="641"/>
      <c r="C2" s="641"/>
      <c r="D2" s="641"/>
      <c r="E2" s="641"/>
      <c r="F2" s="641"/>
      <c r="G2" s="641"/>
    </row>
    <row r="3" spans="1:7" ht="15">
      <c r="A3" s="641" t="str">
        <f>1!A5</f>
        <v>PROVINSI KALIMANTAN TENGAH</v>
      </c>
      <c r="B3" s="641"/>
      <c r="C3" s="641"/>
      <c r="D3" s="641"/>
      <c r="E3" s="641"/>
      <c r="F3" s="641"/>
      <c r="G3" s="641"/>
    </row>
    <row r="4" spans="1:7" ht="15">
      <c r="A4" s="641" t="str">
        <f>1!A6</f>
        <v>TAHUN 2009</v>
      </c>
      <c r="B4" s="641"/>
      <c r="C4" s="641"/>
      <c r="D4" s="641"/>
      <c r="E4" s="641"/>
      <c r="F4" s="641"/>
      <c r="G4" s="641"/>
    </row>
    <row r="5" spans="1:7" ht="15.75" thickBot="1">
      <c r="A5" s="116"/>
      <c r="B5" s="116"/>
      <c r="C5" s="116"/>
      <c r="D5" s="116"/>
      <c r="E5" s="116"/>
      <c r="F5" s="116"/>
      <c r="G5" s="116"/>
    </row>
    <row r="6" spans="1:7" ht="19.5" customHeight="1">
      <c r="A6" s="634" t="s">
        <v>2</v>
      </c>
      <c r="B6" s="563" t="s">
        <v>3</v>
      </c>
      <c r="C6" s="649" t="s">
        <v>533</v>
      </c>
      <c r="D6" s="45" t="s">
        <v>257</v>
      </c>
      <c r="E6" s="46"/>
      <c r="F6" s="46"/>
      <c r="G6" s="47"/>
    </row>
    <row r="7" spans="1:7" ht="19.5" customHeight="1">
      <c r="A7" s="635"/>
      <c r="B7" s="635"/>
      <c r="C7" s="615"/>
      <c r="D7" s="25" t="s">
        <v>10</v>
      </c>
      <c r="E7" s="58" t="s">
        <v>10</v>
      </c>
      <c r="F7" s="9" t="s">
        <v>10</v>
      </c>
      <c r="G7" s="25" t="s">
        <v>21</v>
      </c>
    </row>
    <row r="8" spans="1:7" ht="19.5" customHeight="1">
      <c r="A8" s="636"/>
      <c r="B8" s="636"/>
      <c r="C8" s="616"/>
      <c r="D8" s="26" t="s">
        <v>11</v>
      </c>
      <c r="E8" s="117" t="s">
        <v>12</v>
      </c>
      <c r="F8" s="117" t="s">
        <v>13</v>
      </c>
      <c r="G8" s="26" t="s">
        <v>1</v>
      </c>
    </row>
    <row r="9" spans="1:7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</row>
    <row r="10" spans="1:7" ht="15">
      <c r="A10" s="138">
        <f>6!A11</f>
        <v>1</v>
      </c>
      <c r="B10" s="98" t="str">
        <f>6!B11</f>
        <v>Kotawaringin Barat</v>
      </c>
      <c r="C10" s="118">
        <f>6!C11</f>
        <v>5183</v>
      </c>
      <c r="D10" s="119">
        <v>0</v>
      </c>
      <c r="E10" s="119">
        <v>1</v>
      </c>
      <c r="F10" s="119">
        <v>0</v>
      </c>
      <c r="G10" s="62">
        <f>SUM(D10:F10)</f>
        <v>1</v>
      </c>
    </row>
    <row r="11" spans="1:7" ht="15">
      <c r="A11" s="138">
        <f>6!A12</f>
        <v>2</v>
      </c>
      <c r="B11" s="98" t="str">
        <f>6!B12</f>
        <v>Lamandau</v>
      </c>
      <c r="C11" s="118">
        <f>6!C12</f>
        <v>1187</v>
      </c>
      <c r="D11" s="119">
        <v>3</v>
      </c>
      <c r="E11" s="119">
        <v>1</v>
      </c>
      <c r="F11" s="119">
        <v>0</v>
      </c>
      <c r="G11" s="62">
        <f aca="true" t="shared" si="0" ref="G11:G24">SUM(D11:F11)</f>
        <v>4</v>
      </c>
    </row>
    <row r="12" spans="1:7" ht="15">
      <c r="A12" s="138">
        <f>6!A13</f>
        <v>3</v>
      </c>
      <c r="B12" s="98" t="str">
        <f>6!B13</f>
        <v>Sukamara</v>
      </c>
      <c r="C12" s="118">
        <f>6!C13</f>
        <v>779</v>
      </c>
      <c r="D12" s="119">
        <v>0</v>
      </c>
      <c r="E12" s="119">
        <v>0</v>
      </c>
      <c r="F12" s="119">
        <v>0</v>
      </c>
      <c r="G12" s="62">
        <f t="shared" si="0"/>
        <v>0</v>
      </c>
    </row>
    <row r="13" spans="1:7" ht="15">
      <c r="A13" s="138">
        <f>6!A14</f>
        <v>4</v>
      </c>
      <c r="B13" s="98" t="str">
        <f>6!B14</f>
        <v>Kotawaringin Timur</v>
      </c>
      <c r="C13" s="118">
        <f>6!C14</f>
        <v>6794</v>
      </c>
      <c r="D13" s="119">
        <v>1</v>
      </c>
      <c r="E13" s="119">
        <v>6</v>
      </c>
      <c r="F13" s="119">
        <v>0</v>
      </c>
      <c r="G13" s="62">
        <f t="shared" si="0"/>
        <v>7</v>
      </c>
    </row>
    <row r="14" spans="1:7" ht="15">
      <c r="A14" s="138">
        <f>6!A15</f>
        <v>5</v>
      </c>
      <c r="B14" s="98" t="str">
        <f>6!B15</f>
        <v>Seruyan</v>
      </c>
      <c r="C14" s="118">
        <f>6!C15</f>
        <v>3107</v>
      </c>
      <c r="D14" s="502">
        <v>0</v>
      </c>
      <c r="E14" s="119">
        <v>0</v>
      </c>
      <c r="F14" s="119">
        <v>3</v>
      </c>
      <c r="G14" s="62">
        <f t="shared" si="0"/>
        <v>3</v>
      </c>
    </row>
    <row r="15" spans="1:7" ht="15">
      <c r="A15" s="138">
        <f>6!A16</f>
        <v>6</v>
      </c>
      <c r="B15" s="98" t="str">
        <f>6!B16</f>
        <v>Katingan</v>
      </c>
      <c r="C15" s="118">
        <f>6!C16</f>
        <v>3581</v>
      </c>
      <c r="D15" s="119">
        <v>0</v>
      </c>
      <c r="E15" s="119">
        <v>8</v>
      </c>
      <c r="F15" s="119">
        <v>4</v>
      </c>
      <c r="G15" s="62">
        <f t="shared" si="0"/>
        <v>12</v>
      </c>
    </row>
    <row r="16" spans="1:7" ht="15">
      <c r="A16" s="138">
        <f>6!A17</f>
        <v>7</v>
      </c>
      <c r="B16" s="98" t="str">
        <f>6!B17</f>
        <v>Kapuas</v>
      </c>
      <c r="C16" s="118">
        <f>6!C17</f>
        <v>7861</v>
      </c>
      <c r="D16" s="119">
        <v>1</v>
      </c>
      <c r="E16" s="119">
        <v>10</v>
      </c>
      <c r="F16" s="119">
        <v>5</v>
      </c>
      <c r="G16" s="62">
        <f t="shared" si="0"/>
        <v>16</v>
      </c>
    </row>
    <row r="17" spans="1:7" ht="15">
      <c r="A17" s="138">
        <f>6!A18</f>
        <v>8</v>
      </c>
      <c r="B17" s="98" t="str">
        <f>6!B18</f>
        <v>Pulang Pisau</v>
      </c>
      <c r="C17" s="118">
        <f>6!C18</f>
        <v>2855</v>
      </c>
      <c r="D17" s="119">
        <v>0</v>
      </c>
      <c r="E17" s="119">
        <v>3</v>
      </c>
      <c r="F17" s="119">
        <v>0</v>
      </c>
      <c r="G17" s="62">
        <f t="shared" si="0"/>
        <v>3</v>
      </c>
    </row>
    <row r="18" spans="1:7" ht="15">
      <c r="A18" s="138">
        <f>6!A19</f>
        <v>9</v>
      </c>
      <c r="B18" s="98" t="str">
        <f>6!B19</f>
        <v>Gunung Mas</v>
      </c>
      <c r="C18" s="118">
        <f>6!C19</f>
        <v>2308</v>
      </c>
      <c r="D18" s="119">
        <v>0</v>
      </c>
      <c r="E18" s="119">
        <v>6</v>
      </c>
      <c r="F18" s="119">
        <v>0</v>
      </c>
      <c r="G18" s="62">
        <f t="shared" si="0"/>
        <v>6</v>
      </c>
    </row>
    <row r="19" spans="1:7" ht="15">
      <c r="A19" s="138">
        <f>6!A20</f>
        <v>10</v>
      </c>
      <c r="B19" s="98" t="str">
        <f>6!B20</f>
        <v>Barito Selatan</v>
      </c>
      <c r="C19" s="118">
        <f>6!C20</f>
        <v>2376</v>
      </c>
      <c r="D19" s="119">
        <v>0</v>
      </c>
      <c r="E19" s="119">
        <v>6</v>
      </c>
      <c r="F19" s="119">
        <v>0</v>
      </c>
      <c r="G19" s="62">
        <f t="shared" si="0"/>
        <v>6</v>
      </c>
    </row>
    <row r="20" spans="1:7" ht="15">
      <c r="A20" s="138">
        <f>6!A21</f>
        <v>11</v>
      </c>
      <c r="B20" s="98" t="str">
        <f>6!B21</f>
        <v>Barito Timur</v>
      </c>
      <c r="C20" s="118">
        <f>6!C21</f>
        <v>1601</v>
      </c>
      <c r="D20" s="119">
        <v>0</v>
      </c>
      <c r="E20" s="119">
        <v>3</v>
      </c>
      <c r="F20" s="119">
        <v>0</v>
      </c>
      <c r="G20" s="62">
        <f t="shared" si="0"/>
        <v>3</v>
      </c>
    </row>
    <row r="21" spans="1:7" ht="15">
      <c r="A21" s="138">
        <f>6!A22</f>
        <v>12</v>
      </c>
      <c r="B21" s="98" t="str">
        <f>6!B22</f>
        <v>Barito Utara</v>
      </c>
      <c r="C21" s="366">
        <f>6!C22</f>
        <v>2516</v>
      </c>
      <c r="D21" s="119">
        <v>2</v>
      </c>
      <c r="E21" s="119">
        <v>0</v>
      </c>
      <c r="F21" s="119">
        <v>0</v>
      </c>
      <c r="G21" s="62">
        <f t="shared" si="0"/>
        <v>2</v>
      </c>
    </row>
    <row r="22" spans="1:7" ht="15">
      <c r="A22" s="138">
        <f>6!A23</f>
        <v>13</v>
      </c>
      <c r="B22" s="98" t="str">
        <f>6!B23</f>
        <v>Murung Raya</v>
      </c>
      <c r="C22" s="118">
        <f>6!C23</f>
        <v>2313</v>
      </c>
      <c r="D22" s="119">
        <v>1</v>
      </c>
      <c r="E22" s="119">
        <v>1</v>
      </c>
      <c r="F22" s="119">
        <v>0</v>
      </c>
      <c r="G22" s="62">
        <f t="shared" si="0"/>
        <v>2</v>
      </c>
    </row>
    <row r="23" spans="1:7" ht="15">
      <c r="A23" s="138">
        <f>6!A24</f>
        <v>14</v>
      </c>
      <c r="B23" s="98" t="str">
        <f>6!B24</f>
        <v>Palangka Raya</v>
      </c>
      <c r="C23" s="118">
        <f>6!C24</f>
        <v>5006</v>
      </c>
      <c r="D23" s="119">
        <v>0</v>
      </c>
      <c r="E23" s="119">
        <v>9</v>
      </c>
      <c r="F23" s="119">
        <v>0</v>
      </c>
      <c r="G23" s="62">
        <f t="shared" si="0"/>
        <v>9</v>
      </c>
    </row>
    <row r="24" spans="1:7" ht="15">
      <c r="A24" s="35"/>
      <c r="B24" s="98"/>
      <c r="C24" s="118"/>
      <c r="D24" s="119"/>
      <c r="E24" s="119"/>
      <c r="F24" s="119"/>
      <c r="G24" s="62">
        <f t="shared" si="0"/>
        <v>0</v>
      </c>
    </row>
    <row r="25" spans="1:7" ht="19.5" customHeight="1">
      <c r="A25" s="561" t="s">
        <v>859</v>
      </c>
      <c r="B25" s="562"/>
      <c r="C25" s="120">
        <f>SUM(C10:C24)</f>
        <v>47467</v>
      </c>
      <c r="D25" s="112">
        <f>SUM(D10:D24)</f>
        <v>8</v>
      </c>
      <c r="E25" s="112">
        <f>SUM(E10:E24)</f>
        <v>54</v>
      </c>
      <c r="F25" s="112">
        <f>SUM(F10:F24)</f>
        <v>12</v>
      </c>
      <c r="G25" s="112">
        <f>SUM(G10:G24)</f>
        <v>74</v>
      </c>
    </row>
    <row r="26" spans="1:7" ht="19.5" customHeight="1" thickBot="1">
      <c r="A26" s="361" t="s">
        <v>517</v>
      </c>
      <c r="B26" s="362"/>
      <c r="C26" s="116"/>
      <c r="D26" s="106"/>
      <c r="E26" s="106"/>
      <c r="F26" s="121"/>
      <c r="G26" s="471">
        <f>G25/6!C26*100000</f>
        <v>155.89778161670213</v>
      </c>
    </row>
    <row r="27" spans="1:7" ht="15">
      <c r="A27" s="18"/>
      <c r="B27" s="9"/>
      <c r="C27" s="9"/>
      <c r="D27" s="18"/>
      <c r="E27" s="18"/>
      <c r="F27" s="18"/>
      <c r="G27" s="18"/>
    </row>
    <row r="28" spans="1:7" ht="15">
      <c r="A28" s="525" t="s">
        <v>243</v>
      </c>
      <c r="G28" s="511"/>
    </row>
    <row r="29" spans="1:4" ht="15">
      <c r="A29" s="14" t="s">
        <v>14</v>
      </c>
      <c r="D29" s="14" t="s">
        <v>1</v>
      </c>
    </row>
    <row r="30" spans="2:7" ht="15">
      <c r="B30" s="13" t="s">
        <v>710</v>
      </c>
      <c r="C30" s="42"/>
      <c r="D30" s="42"/>
      <c r="E30" s="42"/>
      <c r="F30" s="42"/>
      <c r="G30" s="42"/>
    </row>
    <row r="31" ht="15">
      <c r="B31" s="390" t="s">
        <v>711</v>
      </c>
    </row>
  </sheetData>
  <mergeCells count="7">
    <mergeCell ref="A2:G2"/>
    <mergeCell ref="A3:G3"/>
    <mergeCell ref="A4:G4"/>
    <mergeCell ref="A25:B25"/>
    <mergeCell ref="A6:A8"/>
    <mergeCell ref="B6:B8"/>
    <mergeCell ref="C6:C8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83" r:id="rId1"/>
  <headerFooter alignWithMargins="0">
    <oddFooter>&amp;C64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M29"/>
  <sheetViews>
    <sheetView view="pageBreakPreview" zoomScale="60" zoomScaleNormal="75" workbookViewId="0" topLeftCell="A2">
      <selection activeCell="H37" sqref="H37"/>
    </sheetView>
  </sheetViews>
  <sheetFormatPr defaultColWidth="9.140625" defaultRowHeight="12.75"/>
  <cols>
    <col min="1" max="1" width="5.7109375" style="81" customWidth="1"/>
    <col min="2" max="2" width="21.8515625" style="81" customWidth="1"/>
    <col min="3" max="7" width="15.7109375" style="81" customWidth="1"/>
    <col min="8" max="8" width="17.00390625" style="81" customWidth="1"/>
    <col min="9" max="12" width="15.7109375" style="81" customWidth="1"/>
    <col min="13" max="13" width="19.140625" style="81" customWidth="1"/>
    <col min="14" max="16384" width="9.140625" style="81" customWidth="1"/>
  </cols>
  <sheetData>
    <row r="1" spans="1:3" ht="21" customHeight="1">
      <c r="A1" s="13" t="s">
        <v>433</v>
      </c>
      <c r="B1" s="122"/>
      <c r="C1" s="79"/>
    </row>
    <row r="2" spans="1:13" ht="18.75" customHeight="1">
      <c r="A2" s="585" t="s">
        <v>211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</row>
    <row r="3" spans="1:13" ht="18.75" customHeight="1">
      <c r="A3" s="642" t="s">
        <v>277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</row>
    <row r="4" spans="1:13" ht="18" customHeight="1">
      <c r="A4" s="642" t="s">
        <v>864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</row>
    <row r="5" spans="1:13" ht="18" customHeight="1">
      <c r="A5" s="642" t="str">
        <f>1!A6:E6</f>
        <v>TAHUN 2009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</row>
    <row r="6" spans="1:13" ht="15.75" thickBo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25.5" customHeight="1">
      <c r="A7" s="615" t="s">
        <v>2</v>
      </c>
      <c r="B7" s="615" t="s">
        <v>205</v>
      </c>
      <c r="C7" s="615" t="s">
        <v>457</v>
      </c>
      <c r="D7" s="580" t="s">
        <v>212</v>
      </c>
      <c r="E7" s="581"/>
      <c r="F7" s="581"/>
      <c r="G7" s="581"/>
      <c r="H7" s="556"/>
      <c r="I7" s="582" t="s">
        <v>216</v>
      </c>
      <c r="J7" s="586"/>
      <c r="K7" s="586"/>
      <c r="L7" s="586"/>
      <c r="M7" s="615" t="s">
        <v>712</v>
      </c>
    </row>
    <row r="8" spans="1:13" ht="29.25" customHeight="1">
      <c r="A8" s="616"/>
      <c r="B8" s="616"/>
      <c r="C8" s="616"/>
      <c r="D8" s="84" t="s">
        <v>213</v>
      </c>
      <c r="E8" s="84" t="s">
        <v>214</v>
      </c>
      <c r="F8" s="52" t="s">
        <v>215</v>
      </c>
      <c r="G8" s="124" t="s">
        <v>82</v>
      </c>
      <c r="H8" s="84" t="s">
        <v>713</v>
      </c>
      <c r="I8" s="84" t="s">
        <v>213</v>
      </c>
      <c r="J8" s="84" t="s">
        <v>214</v>
      </c>
      <c r="K8" s="52" t="s">
        <v>215</v>
      </c>
      <c r="L8" s="380" t="s">
        <v>82</v>
      </c>
      <c r="M8" s="615"/>
    </row>
    <row r="9" spans="1:13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/>
      <c r="I9" s="11">
        <v>8</v>
      </c>
      <c r="J9" s="11">
        <v>9</v>
      </c>
      <c r="K9" s="11">
        <v>10</v>
      </c>
      <c r="L9" s="29">
        <v>11</v>
      </c>
      <c r="M9" s="244">
        <v>12</v>
      </c>
    </row>
    <row r="10" spans="1:13" ht="15">
      <c r="A10" s="487">
        <f>1!A12</f>
        <v>1</v>
      </c>
      <c r="B10" s="85" t="str">
        <f>1!B12</f>
        <v>Kotawaringin Barat</v>
      </c>
      <c r="C10" s="125">
        <v>59</v>
      </c>
      <c r="D10" s="125">
        <v>25</v>
      </c>
      <c r="E10" s="125">
        <v>10</v>
      </c>
      <c r="F10" s="125">
        <v>66</v>
      </c>
      <c r="G10" s="125">
        <f>SUM(D10:F10)</f>
        <v>101</v>
      </c>
      <c r="H10" s="125">
        <f>G10/$G$25*100</f>
        <v>4.152960526315789</v>
      </c>
      <c r="I10" s="126">
        <f>D10/G10*100</f>
        <v>24.752475247524753</v>
      </c>
      <c r="J10" s="126">
        <f>E10/G10*100</f>
        <v>9.900990099009901</v>
      </c>
      <c r="K10" s="126">
        <f>F10/G10*100</f>
        <v>65.34653465346535</v>
      </c>
      <c r="L10" s="391">
        <f>I10+J10+K10</f>
        <v>100</v>
      </c>
      <c r="M10" s="472">
        <f>G10/C10</f>
        <v>1.7118644067796611</v>
      </c>
    </row>
    <row r="11" spans="1:13" ht="15">
      <c r="A11" s="487">
        <f>1!A13</f>
        <v>2</v>
      </c>
      <c r="B11" s="85" t="str">
        <f>1!B13</f>
        <v>Lamandau</v>
      </c>
      <c r="C11" s="125">
        <v>89</v>
      </c>
      <c r="D11" s="125">
        <v>0</v>
      </c>
      <c r="E11" s="125">
        <v>0</v>
      </c>
      <c r="F11" s="125">
        <v>89</v>
      </c>
      <c r="G11" s="125">
        <f aca="true" t="shared" si="0" ref="G11:G25">SUM(D11:F11)</f>
        <v>89</v>
      </c>
      <c r="H11" s="125">
        <f aca="true" t="shared" si="1" ref="H11:H25">G11/$G$25*100</f>
        <v>3.6595394736842106</v>
      </c>
      <c r="I11" s="126">
        <v>0</v>
      </c>
      <c r="J11" s="126">
        <v>0</v>
      </c>
      <c r="K11" s="126">
        <f aca="true" t="shared" si="2" ref="K11:K25">F11/G11*100</f>
        <v>100</v>
      </c>
      <c r="L11" s="391">
        <f aca="true" t="shared" si="3" ref="L11:L22">I11+J11+K11</f>
        <v>100</v>
      </c>
      <c r="M11" s="473">
        <f aca="true" t="shared" si="4" ref="M11:M25">G11/C11</f>
        <v>1</v>
      </c>
    </row>
    <row r="12" spans="1:13" ht="15">
      <c r="A12" s="487">
        <f>1!A14</f>
        <v>3</v>
      </c>
      <c r="B12" s="85" t="str">
        <f>1!B14</f>
        <v>Sukamara</v>
      </c>
      <c r="C12" s="125">
        <v>81</v>
      </c>
      <c r="D12" s="125">
        <v>6</v>
      </c>
      <c r="E12" s="125">
        <v>5</v>
      </c>
      <c r="F12" s="125">
        <v>70</v>
      </c>
      <c r="G12" s="125">
        <f t="shared" si="0"/>
        <v>81</v>
      </c>
      <c r="H12" s="125">
        <f t="shared" si="1"/>
        <v>3.3305921052631584</v>
      </c>
      <c r="I12" s="126">
        <f>D12/G12*100</f>
        <v>7.4074074074074066</v>
      </c>
      <c r="J12" s="126">
        <f aca="true" t="shared" si="5" ref="J12:J25">E12/G12*100</f>
        <v>6.172839506172839</v>
      </c>
      <c r="K12" s="126">
        <f t="shared" si="2"/>
        <v>86.41975308641975</v>
      </c>
      <c r="L12" s="391">
        <f t="shared" si="3"/>
        <v>100</v>
      </c>
      <c r="M12" s="473">
        <f t="shared" si="4"/>
        <v>1</v>
      </c>
    </row>
    <row r="13" spans="1:13" ht="15">
      <c r="A13" s="487">
        <f>1!A15</f>
        <v>4</v>
      </c>
      <c r="B13" s="85" t="str">
        <f>1!B15</f>
        <v>Kotawaringin Timur</v>
      </c>
      <c r="C13" s="125">
        <v>157</v>
      </c>
      <c r="D13" s="125">
        <v>59</v>
      </c>
      <c r="E13" s="125">
        <v>45</v>
      </c>
      <c r="F13" s="125">
        <v>229</v>
      </c>
      <c r="G13" s="125">
        <f t="shared" si="0"/>
        <v>333</v>
      </c>
      <c r="H13" s="125">
        <f t="shared" si="1"/>
        <v>13.692434210526317</v>
      </c>
      <c r="I13" s="126">
        <f aca="true" t="shared" si="6" ref="I13:I25">D13/G13*100</f>
        <v>17.71771771771772</v>
      </c>
      <c r="J13" s="126">
        <f t="shared" si="5"/>
        <v>13.513513513513514</v>
      </c>
      <c r="K13" s="126">
        <f t="shared" si="2"/>
        <v>68.76876876876878</v>
      </c>
      <c r="L13" s="391">
        <f t="shared" si="3"/>
        <v>100.00000000000001</v>
      </c>
      <c r="M13" s="472">
        <f t="shared" si="4"/>
        <v>2.121019108280255</v>
      </c>
    </row>
    <row r="14" spans="1:13" ht="15">
      <c r="A14" s="487">
        <f>1!A16</f>
        <v>5</v>
      </c>
      <c r="B14" s="85" t="str">
        <f>1!B16</f>
        <v>Seruyan</v>
      </c>
      <c r="C14" s="125">
        <v>38</v>
      </c>
      <c r="D14" s="125">
        <v>14</v>
      </c>
      <c r="E14" s="125">
        <v>13</v>
      </c>
      <c r="F14" s="125">
        <v>11</v>
      </c>
      <c r="G14" s="125">
        <f t="shared" si="0"/>
        <v>38</v>
      </c>
      <c r="H14" s="125">
        <f>G14/$G$25*100</f>
        <v>1.5625</v>
      </c>
      <c r="I14" s="126">
        <f t="shared" si="6"/>
        <v>36.84210526315789</v>
      </c>
      <c r="J14" s="126">
        <f t="shared" si="5"/>
        <v>34.21052631578947</v>
      </c>
      <c r="K14" s="126">
        <f t="shared" si="2"/>
        <v>28.947368421052634</v>
      </c>
      <c r="L14" s="391">
        <f t="shared" si="3"/>
        <v>100</v>
      </c>
      <c r="M14" s="85">
        <f t="shared" si="4"/>
        <v>1</v>
      </c>
    </row>
    <row r="15" spans="1:13" ht="15">
      <c r="A15" s="487">
        <f>1!A17</f>
        <v>6</v>
      </c>
      <c r="B15" s="85" t="str">
        <f>1!B17</f>
        <v>Katingan</v>
      </c>
      <c r="C15" s="609" t="s">
        <v>694</v>
      </c>
      <c r="D15" s="609" t="s">
        <v>694</v>
      </c>
      <c r="E15" s="609" t="s">
        <v>694</v>
      </c>
      <c r="F15" s="609" t="s">
        <v>694</v>
      </c>
      <c r="G15" s="609" t="s">
        <v>694</v>
      </c>
      <c r="H15" s="609" t="s">
        <v>694</v>
      </c>
      <c r="I15" s="609" t="s">
        <v>694</v>
      </c>
      <c r="J15" s="609" t="s">
        <v>694</v>
      </c>
      <c r="K15" s="609" t="s">
        <v>694</v>
      </c>
      <c r="L15" s="609" t="s">
        <v>694</v>
      </c>
      <c r="M15" s="609" t="s">
        <v>694</v>
      </c>
    </row>
    <row r="16" spans="1:13" ht="15">
      <c r="A16" s="487">
        <f>1!A18</f>
        <v>7</v>
      </c>
      <c r="B16" s="85" t="str">
        <f>1!B18</f>
        <v>Kapuas</v>
      </c>
      <c r="C16" s="609" t="s">
        <v>694</v>
      </c>
      <c r="D16" s="609" t="s">
        <v>694</v>
      </c>
      <c r="E16" s="609" t="s">
        <v>694</v>
      </c>
      <c r="F16" s="609" t="s">
        <v>694</v>
      </c>
      <c r="G16" s="609" t="s">
        <v>694</v>
      </c>
      <c r="H16" s="609" t="s">
        <v>694</v>
      </c>
      <c r="I16" s="609" t="s">
        <v>694</v>
      </c>
      <c r="J16" s="609" t="s">
        <v>694</v>
      </c>
      <c r="K16" s="609" t="s">
        <v>694</v>
      </c>
      <c r="L16" s="609" t="s">
        <v>694</v>
      </c>
      <c r="M16" s="609" t="s">
        <v>694</v>
      </c>
    </row>
    <row r="17" spans="1:13" ht="15">
      <c r="A17" s="487">
        <f>1!A19</f>
        <v>8</v>
      </c>
      <c r="B17" s="85" t="str">
        <f>1!B19</f>
        <v>Pulang Pisau</v>
      </c>
      <c r="C17" s="621">
        <v>166</v>
      </c>
      <c r="D17" s="621">
        <v>32</v>
      </c>
      <c r="E17" s="621">
        <v>7</v>
      </c>
      <c r="F17" s="621">
        <v>127</v>
      </c>
      <c r="G17" s="621">
        <f t="shared" si="0"/>
        <v>166</v>
      </c>
      <c r="H17" s="609">
        <f>G17/$G$25*100</f>
        <v>6.825657894736842</v>
      </c>
      <c r="I17" s="622">
        <f t="shared" si="6"/>
        <v>19.27710843373494</v>
      </c>
      <c r="J17" s="622">
        <f t="shared" si="5"/>
        <v>4.216867469879518</v>
      </c>
      <c r="K17" s="622">
        <f t="shared" si="2"/>
        <v>76.50602409638554</v>
      </c>
      <c r="L17" s="623">
        <f t="shared" si="3"/>
        <v>100</v>
      </c>
      <c r="M17" s="624">
        <f t="shared" si="4"/>
        <v>1</v>
      </c>
    </row>
    <row r="18" spans="1:13" ht="15">
      <c r="A18" s="487">
        <f>1!A20</f>
        <v>9</v>
      </c>
      <c r="B18" s="85" t="str">
        <f>1!B20</f>
        <v>Gunung Mas</v>
      </c>
      <c r="C18" s="621">
        <v>511</v>
      </c>
      <c r="D18" s="621">
        <v>3</v>
      </c>
      <c r="E18" s="621">
        <v>17</v>
      </c>
      <c r="F18" s="621">
        <v>382</v>
      </c>
      <c r="G18" s="621">
        <f t="shared" si="0"/>
        <v>402</v>
      </c>
      <c r="H18" s="621">
        <f t="shared" si="1"/>
        <v>16.529605263157894</v>
      </c>
      <c r="I18" s="622">
        <f t="shared" si="6"/>
        <v>0.7462686567164178</v>
      </c>
      <c r="J18" s="622">
        <f t="shared" si="5"/>
        <v>4.228855721393035</v>
      </c>
      <c r="K18" s="622">
        <f t="shared" si="2"/>
        <v>95.02487562189054</v>
      </c>
      <c r="L18" s="623">
        <f t="shared" si="3"/>
        <v>100</v>
      </c>
      <c r="M18" s="625">
        <f t="shared" si="4"/>
        <v>0.786692759295499</v>
      </c>
    </row>
    <row r="19" spans="1:13" ht="15">
      <c r="A19" s="487">
        <f>1!A21</f>
        <v>10</v>
      </c>
      <c r="B19" s="85" t="str">
        <f>1!B21</f>
        <v>Barito Selatan</v>
      </c>
      <c r="C19" s="609" t="s">
        <v>694</v>
      </c>
      <c r="D19" s="609" t="s">
        <v>694</v>
      </c>
      <c r="E19" s="609" t="s">
        <v>694</v>
      </c>
      <c r="F19" s="609" t="s">
        <v>694</v>
      </c>
      <c r="G19" s="609" t="s">
        <v>694</v>
      </c>
      <c r="H19" s="609" t="s">
        <v>694</v>
      </c>
      <c r="I19" s="609" t="s">
        <v>694</v>
      </c>
      <c r="J19" s="609" t="s">
        <v>694</v>
      </c>
      <c r="K19" s="609" t="s">
        <v>694</v>
      </c>
      <c r="L19" s="609" t="s">
        <v>694</v>
      </c>
      <c r="M19" s="609" t="s">
        <v>694</v>
      </c>
    </row>
    <row r="20" spans="1:13" ht="15">
      <c r="A20" s="487">
        <f>1!A22</f>
        <v>11</v>
      </c>
      <c r="B20" s="85" t="str">
        <f>1!B22</f>
        <v>Barito Timur</v>
      </c>
      <c r="C20" s="125">
        <v>556</v>
      </c>
      <c r="D20" s="125">
        <v>33</v>
      </c>
      <c r="E20" s="125">
        <v>183</v>
      </c>
      <c r="F20" s="125">
        <v>279</v>
      </c>
      <c r="G20" s="125">
        <f t="shared" si="0"/>
        <v>495</v>
      </c>
      <c r="H20" s="125">
        <f t="shared" si="1"/>
        <v>20.353618421052634</v>
      </c>
      <c r="I20" s="126">
        <f t="shared" si="6"/>
        <v>6.666666666666667</v>
      </c>
      <c r="J20" s="126">
        <f t="shared" si="5"/>
        <v>36.96969696969697</v>
      </c>
      <c r="K20" s="126">
        <f t="shared" si="2"/>
        <v>56.36363636363636</v>
      </c>
      <c r="L20" s="391">
        <f t="shared" si="3"/>
        <v>100</v>
      </c>
      <c r="M20" s="472">
        <f t="shared" si="4"/>
        <v>0.8902877697841727</v>
      </c>
    </row>
    <row r="21" spans="1:13" ht="15">
      <c r="A21" s="487">
        <f>1!A23</f>
        <v>12</v>
      </c>
      <c r="B21" s="85" t="str">
        <f>1!B23</f>
        <v>Barito Utara</v>
      </c>
      <c r="C21" s="125">
        <v>49</v>
      </c>
      <c r="D21" s="125">
        <v>19</v>
      </c>
      <c r="E21" s="125">
        <v>20</v>
      </c>
      <c r="F21" s="125">
        <v>19</v>
      </c>
      <c r="G21" s="125">
        <f t="shared" si="0"/>
        <v>58</v>
      </c>
      <c r="H21" s="125">
        <f t="shared" si="1"/>
        <v>2.384868421052632</v>
      </c>
      <c r="I21" s="126">
        <f t="shared" si="6"/>
        <v>32.758620689655174</v>
      </c>
      <c r="J21" s="126">
        <f t="shared" si="5"/>
        <v>34.48275862068966</v>
      </c>
      <c r="K21" s="126">
        <f t="shared" si="2"/>
        <v>32.758620689655174</v>
      </c>
      <c r="L21" s="391">
        <f t="shared" si="3"/>
        <v>100</v>
      </c>
      <c r="M21" s="472">
        <f t="shared" si="4"/>
        <v>1.183673469387755</v>
      </c>
    </row>
    <row r="22" spans="1:13" ht="15">
      <c r="A22" s="487">
        <f>1!A24</f>
        <v>13</v>
      </c>
      <c r="B22" s="85" t="str">
        <f>1!B24</f>
        <v>Murung Raya</v>
      </c>
      <c r="C22" s="125">
        <v>159</v>
      </c>
      <c r="D22" s="125">
        <v>6</v>
      </c>
      <c r="E22" s="125">
        <v>27</v>
      </c>
      <c r="F22" s="125">
        <v>127</v>
      </c>
      <c r="G22" s="125">
        <f t="shared" si="0"/>
        <v>160</v>
      </c>
      <c r="H22" s="125">
        <f t="shared" si="1"/>
        <v>6.578947368421052</v>
      </c>
      <c r="I22" s="126">
        <f t="shared" si="6"/>
        <v>3.75</v>
      </c>
      <c r="J22" s="126">
        <f t="shared" si="5"/>
        <v>16.875</v>
      </c>
      <c r="K22" s="126">
        <f t="shared" si="2"/>
        <v>79.375</v>
      </c>
      <c r="L22" s="391">
        <f t="shared" si="3"/>
        <v>100</v>
      </c>
      <c r="M22" s="472">
        <f t="shared" si="4"/>
        <v>1.0062893081761006</v>
      </c>
    </row>
    <row r="23" spans="1:13" ht="15">
      <c r="A23" s="487">
        <f>1!A25</f>
        <v>14</v>
      </c>
      <c r="B23" s="85" t="str">
        <f>1!B25</f>
        <v>Palangka Raya</v>
      </c>
      <c r="C23" s="125">
        <v>225</v>
      </c>
      <c r="D23" s="125">
        <v>38</v>
      </c>
      <c r="E23" s="125">
        <v>20</v>
      </c>
      <c r="F23" s="125">
        <v>451</v>
      </c>
      <c r="G23" s="125">
        <f>SUM(D23:F23)</f>
        <v>509</v>
      </c>
      <c r="H23" s="125">
        <f t="shared" si="1"/>
        <v>20.929276315789476</v>
      </c>
      <c r="I23" s="126">
        <f>D23/G23*100</f>
        <v>7.465618860510806</v>
      </c>
      <c r="J23" s="126">
        <f>E23/G23*100</f>
        <v>3.9292730844793713</v>
      </c>
      <c r="K23" s="126">
        <f>F23/G23*100</f>
        <v>88.60510805500982</v>
      </c>
      <c r="L23" s="391">
        <f>I23+J23+K23</f>
        <v>100</v>
      </c>
      <c r="M23" s="472">
        <f>G23/C23</f>
        <v>2.2622222222222224</v>
      </c>
    </row>
    <row r="24" spans="1:13" ht="15">
      <c r="A24" s="85"/>
      <c r="B24" s="85"/>
      <c r="C24" s="125"/>
      <c r="D24" s="125"/>
      <c r="E24" s="125"/>
      <c r="F24" s="125"/>
      <c r="G24" s="127">
        <f t="shared" si="0"/>
        <v>0</v>
      </c>
      <c r="H24" s="127">
        <f t="shared" si="1"/>
        <v>0</v>
      </c>
      <c r="I24" s="128"/>
      <c r="J24" s="128"/>
      <c r="K24" s="128"/>
      <c r="L24" s="392"/>
      <c r="M24" s="129"/>
    </row>
    <row r="25" spans="1:13" ht="19.5" customHeight="1" thickBot="1">
      <c r="A25" s="108" t="s">
        <v>859</v>
      </c>
      <c r="B25" s="108"/>
      <c r="C25" s="109">
        <f>SUM(C10:C24)</f>
        <v>2090</v>
      </c>
      <c r="D25" s="109">
        <f>SUM(D10:D24)</f>
        <v>235</v>
      </c>
      <c r="E25" s="109">
        <f>SUM(E10:E24)</f>
        <v>347</v>
      </c>
      <c r="F25" s="109">
        <f>SUM(F10:F24)</f>
        <v>1850</v>
      </c>
      <c r="G25" s="130">
        <f t="shared" si="0"/>
        <v>2432</v>
      </c>
      <c r="H25" s="395">
        <f t="shared" si="1"/>
        <v>100</v>
      </c>
      <c r="I25" s="126">
        <f t="shared" si="6"/>
        <v>9.662828947368421</v>
      </c>
      <c r="J25" s="126">
        <f t="shared" si="5"/>
        <v>14.268092105263158</v>
      </c>
      <c r="K25" s="126">
        <f t="shared" si="2"/>
        <v>76.06907894736842</v>
      </c>
      <c r="L25" s="391">
        <f>I25+J25+K25</f>
        <v>100</v>
      </c>
      <c r="M25" s="485">
        <f t="shared" si="4"/>
        <v>1.1636363636363636</v>
      </c>
    </row>
    <row r="26" spans="1:13" ht="19.5" customHeight="1" thickBot="1">
      <c r="A26" s="564" t="s">
        <v>239</v>
      </c>
      <c r="B26" s="565"/>
      <c r="C26" s="565"/>
      <c r="D26" s="565"/>
      <c r="E26" s="565"/>
      <c r="F26" s="566"/>
      <c r="G26" s="385">
        <f>G25/1!G27*100000</f>
        <v>111.37224156785737</v>
      </c>
      <c r="H26" s="531"/>
      <c r="I26" s="530"/>
      <c r="J26" s="131"/>
      <c r="K26" s="131"/>
      <c r="L26" s="393"/>
      <c r="M26" s="394"/>
    </row>
    <row r="27" spans="1:12" ht="14.25" customHeight="1">
      <c r="A27" s="357"/>
      <c r="B27" s="357"/>
      <c r="C27" s="357"/>
      <c r="D27" s="357"/>
      <c r="E27" s="357"/>
      <c r="F27" s="357"/>
      <c r="G27" s="358"/>
      <c r="H27" s="358"/>
      <c r="I27" s="360"/>
      <c r="J27" s="360"/>
      <c r="K27" s="360"/>
      <c r="L27" s="360"/>
    </row>
    <row r="28" spans="1:3" ht="14.25" customHeight="1">
      <c r="A28" s="525" t="s">
        <v>243</v>
      </c>
      <c r="B28" s="359"/>
      <c r="C28" s="79"/>
    </row>
    <row r="29" spans="1:4" ht="17.25" customHeight="1">
      <c r="A29" s="753" t="s">
        <v>964</v>
      </c>
      <c r="B29" s="753"/>
      <c r="C29" s="753"/>
      <c r="D29" s="753"/>
    </row>
  </sheetData>
  <mergeCells count="12">
    <mergeCell ref="A29:D29"/>
    <mergeCell ref="M7:M8"/>
    <mergeCell ref="A2:M2"/>
    <mergeCell ref="A3:M3"/>
    <mergeCell ref="A4:M4"/>
    <mergeCell ref="D7:H7"/>
    <mergeCell ref="A5:M5"/>
    <mergeCell ref="A26:F26"/>
    <mergeCell ref="I7:L7"/>
    <mergeCell ref="C7:C8"/>
    <mergeCell ref="A7:A8"/>
    <mergeCell ref="B7:B8"/>
  </mergeCells>
  <printOptions horizontalCentered="1"/>
  <pageMargins left="1.6929133858267718" right="0.9055118110236221" top="1.141732283464567" bottom="0.9055118110236221" header="0" footer="0.7874015748031497"/>
  <pageSetup fitToHeight="1" fitToWidth="1" horizontalDpi="300" verticalDpi="300" orientation="landscape" paperSize="9" scale="57" r:id="rId1"/>
  <headerFooter alignWithMargins="0">
    <oddFooter>&amp;C65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Health Indonesia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Yudianto</dc:creator>
  <cp:keywords/>
  <dc:description/>
  <cp:lastModifiedBy>user</cp:lastModifiedBy>
  <cp:lastPrinted>2011-01-18T05:06:01Z</cp:lastPrinted>
  <dcterms:created xsi:type="dcterms:W3CDTF">2004-01-26T15:26:59Z</dcterms:created>
  <dcterms:modified xsi:type="dcterms:W3CDTF">2011-01-18T05:07:26Z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